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503fb6a683107b/1 - Jessica/Files from Director's Computer - Transferred 12-7-2018/My Documents/Board/Financial repts/FY22-23/"/>
    </mc:Choice>
  </mc:AlternateContent>
  <xr:revisionPtr revIDLastSave="2" documentId="8_{9E936007-C321-4B61-8F07-AF8B50EE6874}" xr6:coauthVersionLast="47" xr6:coauthVersionMax="47" xr10:uidLastSave="{4A8F5563-26F1-4D4F-9232-AE42F777D2D6}"/>
  <bookViews>
    <workbookView xWindow="-120" yWindow="-120" windowWidth="29040" windowHeight="15720" xr2:uid="{D40AC6BE-9D9A-44CB-92DC-AAA1B7525A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9" i="1" l="1"/>
  <c r="T87" i="1"/>
  <c r="T89" i="1" s="1"/>
  <c r="S87" i="1"/>
  <c r="S89" i="1" s="1"/>
  <c r="R87" i="1"/>
  <c r="R89" i="1" s="1"/>
  <c r="Q87" i="1"/>
  <c r="Q89" i="1" s="1"/>
  <c r="P87" i="1"/>
  <c r="P89" i="1" s="1"/>
  <c r="L87" i="1"/>
  <c r="L89" i="1" s="1"/>
  <c r="K87" i="1"/>
  <c r="K89" i="1" s="1"/>
  <c r="J87" i="1"/>
  <c r="J89" i="1" s="1"/>
  <c r="I87" i="1"/>
  <c r="I89" i="1" s="1"/>
  <c r="F84" i="1"/>
  <c r="H84" i="1" s="1"/>
  <c r="N83" i="1"/>
  <c r="N87" i="1" s="1"/>
  <c r="N89" i="1" s="1"/>
  <c r="F83" i="1"/>
  <c r="H83" i="1" s="1"/>
  <c r="H82" i="1"/>
  <c r="F82" i="1"/>
  <c r="F81" i="1"/>
  <c r="H81" i="1" s="1"/>
  <c r="O80" i="1"/>
  <c r="O87" i="1" s="1"/>
  <c r="O89" i="1" s="1"/>
  <c r="M80" i="1"/>
  <c r="F80" i="1" s="1"/>
  <c r="H80" i="1" s="1"/>
  <c r="F79" i="1"/>
  <c r="H79" i="1" s="1"/>
  <c r="H78" i="1"/>
  <c r="F78" i="1"/>
  <c r="F77" i="1"/>
  <c r="G72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G66" i="1"/>
  <c r="F66" i="1" s="1"/>
  <c r="H66" i="1" s="1"/>
  <c r="U63" i="1"/>
  <c r="T63" i="1"/>
  <c r="S63" i="1"/>
  <c r="R63" i="1"/>
  <c r="Q63" i="1"/>
  <c r="P63" i="1"/>
  <c r="O63" i="1"/>
  <c r="N63" i="1"/>
  <c r="M63" i="1"/>
  <c r="L63" i="1"/>
  <c r="K63" i="1"/>
  <c r="I63" i="1"/>
  <c r="J61" i="1"/>
  <c r="J63" i="1" s="1"/>
  <c r="I61" i="1"/>
  <c r="G61" i="1" s="1"/>
  <c r="F61" i="1" s="1"/>
  <c r="H61" i="1" s="1"/>
  <c r="U59" i="1"/>
  <c r="T59" i="1"/>
  <c r="S59" i="1"/>
  <c r="R59" i="1"/>
  <c r="Q59" i="1"/>
  <c r="P59" i="1"/>
  <c r="O59" i="1"/>
  <c r="M59" i="1"/>
  <c r="L59" i="1"/>
  <c r="K59" i="1"/>
  <c r="J59" i="1"/>
  <c r="I59" i="1"/>
  <c r="N57" i="1"/>
  <c r="N59" i="1" s="1"/>
  <c r="I57" i="1"/>
  <c r="D57" i="1"/>
  <c r="G57" i="1" s="1"/>
  <c r="U54" i="1"/>
  <c r="R54" i="1"/>
  <c r="O54" i="1"/>
  <c r="I54" i="1"/>
  <c r="U52" i="1"/>
  <c r="T52" i="1"/>
  <c r="T54" i="1" s="1"/>
  <c r="S52" i="1"/>
  <c r="S54" i="1" s="1"/>
  <c r="R52" i="1"/>
  <c r="Q52" i="1"/>
  <c r="Q54" i="1" s="1"/>
  <c r="P52" i="1"/>
  <c r="P54" i="1" s="1"/>
  <c r="O52" i="1"/>
  <c r="K52" i="1"/>
  <c r="K54" i="1" s="1"/>
  <c r="J52" i="1"/>
  <c r="J54" i="1" s="1"/>
  <c r="I52" i="1"/>
  <c r="B52" i="1"/>
  <c r="F51" i="1"/>
  <c r="H51" i="1" s="1"/>
  <c r="G50" i="1"/>
  <c r="F50" i="1"/>
  <c r="H50" i="1" s="1"/>
  <c r="G49" i="1"/>
  <c r="F49" i="1"/>
  <c r="H49" i="1" s="1"/>
  <c r="N48" i="1"/>
  <c r="N52" i="1" s="1"/>
  <c r="N54" i="1" s="1"/>
  <c r="M48" i="1"/>
  <c r="M52" i="1" s="1"/>
  <c r="M54" i="1" s="1"/>
  <c r="L48" i="1"/>
  <c r="L52" i="1" s="1"/>
  <c r="L54" i="1" s="1"/>
  <c r="K48" i="1"/>
  <c r="D48" i="1"/>
  <c r="G48" i="1" s="1"/>
  <c r="C48" i="1"/>
  <c r="C52" i="1" s="1"/>
  <c r="U46" i="1"/>
  <c r="T46" i="1"/>
  <c r="S46" i="1"/>
  <c r="R46" i="1"/>
  <c r="Q46" i="1"/>
  <c r="P46" i="1"/>
  <c r="O46" i="1"/>
  <c r="L46" i="1"/>
  <c r="K46" i="1"/>
  <c r="J46" i="1"/>
  <c r="N44" i="1"/>
  <c r="N46" i="1" s="1"/>
  <c r="M44" i="1"/>
  <c r="M46" i="1" s="1"/>
  <c r="J44" i="1"/>
  <c r="I44" i="1"/>
  <c r="I46" i="1" s="1"/>
  <c r="D44" i="1"/>
  <c r="G44" i="1" s="1"/>
  <c r="S41" i="1"/>
  <c r="P41" i="1"/>
  <c r="U39" i="1"/>
  <c r="U41" i="1" s="1"/>
  <c r="T39" i="1"/>
  <c r="T41" i="1" s="1"/>
  <c r="S39" i="1"/>
  <c r="R39" i="1"/>
  <c r="R41" i="1" s="1"/>
  <c r="Q39" i="1"/>
  <c r="Q41" i="1" s="1"/>
  <c r="P39" i="1"/>
  <c r="O39" i="1"/>
  <c r="O41" i="1" s="1"/>
  <c r="N39" i="1"/>
  <c r="N41" i="1" s="1"/>
  <c r="I39" i="1"/>
  <c r="I41" i="1" s="1"/>
  <c r="D39" i="1"/>
  <c r="C39" i="1"/>
  <c r="B39" i="1"/>
  <c r="G38" i="1"/>
  <c r="F38" i="1" s="1"/>
  <c r="H38" i="1" s="1"/>
  <c r="O37" i="1"/>
  <c r="N37" i="1"/>
  <c r="J37" i="1"/>
  <c r="G37" i="1" s="1"/>
  <c r="F37" i="1" s="1"/>
  <c r="H37" i="1" s="1"/>
  <c r="O36" i="1"/>
  <c r="N36" i="1"/>
  <c r="M36" i="1"/>
  <c r="M39" i="1" s="1"/>
  <c r="M41" i="1" s="1"/>
  <c r="L36" i="1"/>
  <c r="L39" i="1" s="1"/>
  <c r="L41" i="1" s="1"/>
  <c r="K36" i="1"/>
  <c r="K39" i="1" s="1"/>
  <c r="K41" i="1" s="1"/>
  <c r="J36" i="1"/>
  <c r="J39" i="1" s="1"/>
  <c r="J41" i="1" s="1"/>
  <c r="I36" i="1"/>
  <c r="U33" i="1"/>
  <c r="S33" i="1"/>
  <c r="P33" i="1"/>
  <c r="O33" i="1"/>
  <c r="M33" i="1"/>
  <c r="J33" i="1"/>
  <c r="I33" i="1"/>
  <c r="U31" i="1"/>
  <c r="T31" i="1"/>
  <c r="T33" i="1" s="1"/>
  <c r="S31" i="1"/>
  <c r="R31" i="1"/>
  <c r="R33" i="1" s="1"/>
  <c r="Q31" i="1"/>
  <c r="Q33" i="1" s="1"/>
  <c r="P31" i="1"/>
  <c r="O31" i="1"/>
  <c r="N31" i="1"/>
  <c r="N33" i="1" s="1"/>
  <c r="M31" i="1"/>
  <c r="L31" i="1"/>
  <c r="L33" i="1" s="1"/>
  <c r="K31" i="1"/>
  <c r="K33" i="1" s="1"/>
  <c r="J31" i="1"/>
  <c r="I31" i="1"/>
  <c r="D31" i="1"/>
  <c r="G31" i="1" s="1"/>
  <c r="C31" i="1"/>
  <c r="G30" i="1"/>
  <c r="F30" i="1"/>
  <c r="H30" i="1" s="1"/>
  <c r="B30" i="1"/>
  <c r="B31" i="1" s="1"/>
  <c r="G29" i="1"/>
  <c r="F29" i="1"/>
  <c r="H29" i="1" s="1"/>
  <c r="S27" i="1"/>
  <c r="R27" i="1"/>
  <c r="P27" i="1"/>
  <c r="M27" i="1"/>
  <c r="U25" i="1"/>
  <c r="U27" i="1" s="1"/>
  <c r="T25" i="1"/>
  <c r="T27" i="1" s="1"/>
  <c r="S25" i="1"/>
  <c r="R25" i="1"/>
  <c r="Q25" i="1"/>
  <c r="Q27" i="1" s="1"/>
  <c r="P25" i="1"/>
  <c r="N25" i="1"/>
  <c r="N27" i="1" s="1"/>
  <c r="M25" i="1"/>
  <c r="D25" i="1"/>
  <c r="C25" i="1"/>
  <c r="B25" i="1"/>
  <c r="G24" i="1"/>
  <c r="F24" i="1" s="1"/>
  <c r="H24" i="1" s="1"/>
  <c r="G23" i="1"/>
  <c r="F23" i="1"/>
  <c r="H23" i="1" s="1"/>
  <c r="G22" i="1"/>
  <c r="F22" i="1" s="1"/>
  <c r="H22" i="1" s="1"/>
  <c r="G21" i="1"/>
  <c r="F21" i="1"/>
  <c r="H21" i="1" s="1"/>
  <c r="O20" i="1"/>
  <c r="O25" i="1" s="1"/>
  <c r="O27" i="1" s="1"/>
  <c r="N20" i="1"/>
  <c r="L20" i="1"/>
  <c r="L25" i="1" s="1"/>
  <c r="L27" i="1" s="1"/>
  <c r="K20" i="1"/>
  <c r="K25" i="1" s="1"/>
  <c r="K27" i="1" s="1"/>
  <c r="J20" i="1"/>
  <c r="J25" i="1" s="1"/>
  <c r="J27" i="1" s="1"/>
  <c r="I20" i="1"/>
  <c r="G20" i="1" s="1"/>
  <c r="F20" i="1" s="1"/>
  <c r="H20" i="1" s="1"/>
  <c r="U17" i="1"/>
  <c r="R17" i="1"/>
  <c r="Q17" i="1"/>
  <c r="O17" i="1"/>
  <c r="L17" i="1"/>
  <c r="K17" i="1"/>
  <c r="I17" i="1"/>
  <c r="U15" i="1"/>
  <c r="T15" i="1"/>
  <c r="T17" i="1" s="1"/>
  <c r="S15" i="1"/>
  <c r="S17" i="1" s="1"/>
  <c r="R15" i="1"/>
  <c r="Q15" i="1"/>
  <c r="P15" i="1"/>
  <c r="P17" i="1" s="1"/>
  <c r="O15" i="1"/>
  <c r="N15" i="1"/>
  <c r="N17" i="1" s="1"/>
  <c r="M15" i="1"/>
  <c r="M17" i="1" s="1"/>
  <c r="L15" i="1"/>
  <c r="K15" i="1"/>
  <c r="J15" i="1"/>
  <c r="J17" i="1" s="1"/>
  <c r="I15" i="1"/>
  <c r="G15" i="1"/>
  <c r="F15" i="1" s="1"/>
  <c r="H15" i="1" s="1"/>
  <c r="D15" i="1"/>
  <c r="C15" i="1"/>
  <c r="B15" i="1"/>
  <c r="G14" i="1"/>
  <c r="F14" i="1" s="1"/>
  <c r="H14" i="1" s="1"/>
  <c r="G13" i="1"/>
  <c r="F13" i="1" s="1"/>
  <c r="H13" i="1" s="1"/>
  <c r="G12" i="1"/>
  <c r="F12" i="1" s="1"/>
  <c r="H12" i="1" s="1"/>
  <c r="H11" i="1"/>
  <c r="S9" i="1"/>
  <c r="R9" i="1"/>
  <c r="Q9" i="1"/>
  <c r="M9" i="1"/>
  <c r="L9" i="1"/>
  <c r="K9" i="1"/>
  <c r="G8" i="1"/>
  <c r="F8" i="1"/>
  <c r="U7" i="1"/>
  <c r="U9" i="1" s="1"/>
  <c r="T7" i="1"/>
  <c r="T71" i="1" s="1"/>
  <c r="T73" i="1" s="1"/>
  <c r="S7" i="1"/>
  <c r="S71" i="1" s="1"/>
  <c r="S73" i="1" s="1"/>
  <c r="R7" i="1"/>
  <c r="R71" i="1" s="1"/>
  <c r="R73" i="1" s="1"/>
  <c r="Q7" i="1"/>
  <c r="Q71" i="1" s="1"/>
  <c r="Q73" i="1" s="1"/>
  <c r="P7" i="1"/>
  <c r="P9" i="1" s="1"/>
  <c r="O7" i="1"/>
  <c r="O9" i="1" s="1"/>
  <c r="N7" i="1"/>
  <c r="N71" i="1" s="1"/>
  <c r="N73" i="1" s="1"/>
  <c r="M7" i="1"/>
  <c r="M71" i="1" s="1"/>
  <c r="M73" i="1" s="1"/>
  <c r="L7" i="1"/>
  <c r="L71" i="1" s="1"/>
  <c r="L73" i="1" s="1"/>
  <c r="K7" i="1"/>
  <c r="K71" i="1" s="1"/>
  <c r="K73" i="1" s="1"/>
  <c r="J7" i="1"/>
  <c r="J9" i="1" s="1"/>
  <c r="I7" i="1"/>
  <c r="I9" i="1" s="1"/>
  <c r="D7" i="1"/>
  <c r="G7" i="1" s="1"/>
  <c r="F7" i="1" s="1"/>
  <c r="H7" i="1" s="1"/>
  <c r="C7" i="1"/>
  <c r="C71" i="1" s="1"/>
  <c r="C77" i="1" s="1"/>
  <c r="C87" i="1" s="1"/>
  <c r="B7" i="1"/>
  <c r="B71" i="1" s="1"/>
  <c r="B77" i="1" s="1"/>
  <c r="B87" i="1" s="1"/>
  <c r="G6" i="1"/>
  <c r="F6" i="1"/>
  <c r="H6" i="1" s="1"/>
  <c r="G5" i="1"/>
  <c r="F5" i="1"/>
  <c r="H5" i="1" s="1"/>
  <c r="G4" i="1"/>
  <c r="F4" i="1"/>
  <c r="H4" i="1" s="1"/>
  <c r="H3" i="1"/>
  <c r="G39" i="1" l="1"/>
  <c r="F87" i="1"/>
  <c r="U71" i="1"/>
  <c r="U73" i="1" s="1"/>
  <c r="I25" i="1"/>
  <c r="I27" i="1" s="1"/>
  <c r="F31" i="1"/>
  <c r="H31" i="1" s="1"/>
  <c r="G36" i="1"/>
  <c r="F36" i="1" s="1"/>
  <c r="H36" i="1" s="1"/>
  <c r="D52" i="1"/>
  <c r="J71" i="1"/>
  <c r="J73" i="1" s="1"/>
  <c r="P71" i="1"/>
  <c r="P73" i="1" s="1"/>
  <c r="O71" i="1"/>
  <c r="O73" i="1" s="1"/>
  <c r="N9" i="1"/>
  <c r="T9" i="1"/>
  <c r="F48" i="1"/>
  <c r="H48" i="1" s="1"/>
  <c r="F57" i="1"/>
  <c r="H57" i="1" s="1"/>
  <c r="D71" i="1"/>
  <c r="G79" i="1"/>
  <c r="I71" i="1"/>
  <c r="I73" i="1" s="1"/>
  <c r="M87" i="1"/>
  <c r="M89" i="1" s="1"/>
  <c r="F39" i="1"/>
  <c r="H39" i="1" s="1"/>
  <c r="F44" i="1"/>
  <c r="H44" i="1" s="1"/>
  <c r="G87" i="1" l="1"/>
  <c r="A75" i="1"/>
  <c r="G71" i="1"/>
  <c r="F71" i="1" s="1"/>
  <c r="D77" i="1"/>
  <c r="G52" i="1"/>
  <c r="F52" i="1"/>
  <c r="H52" i="1" s="1"/>
  <c r="G25" i="1"/>
  <c r="F25" i="1" s="1"/>
  <c r="H25" i="1" s="1"/>
  <c r="H71" i="1" l="1"/>
  <c r="G73" i="1"/>
  <c r="F73" i="1"/>
  <c r="H77" i="1"/>
  <c r="D87" i="1"/>
  <c r="H87" i="1" s="1"/>
</calcChain>
</file>

<file path=xl/sharedStrings.xml><?xml version="1.0" encoding="utf-8"?>
<sst xmlns="http://schemas.openxmlformats.org/spreadsheetml/2006/main" count="140" uniqueCount="80">
  <si>
    <t>2022-2023</t>
  </si>
  <si>
    <t>Approved Budget</t>
  </si>
  <si>
    <t>Original Budget</t>
  </si>
  <si>
    <t>Amended Budget</t>
  </si>
  <si>
    <t>Library YTD</t>
  </si>
  <si>
    <t>Library Bal</t>
  </si>
  <si>
    <t>% Spent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</si>
  <si>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</si>
  <si>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</si>
  <si>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</si>
  <si>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</si>
  <si>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</si>
  <si>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</si>
  <si>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</si>
  <si>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</si>
  <si>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</si>
  <si>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</si>
  <si>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</si>
  <si>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</si>
  <si>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EOM JUN</t>
  </si>
  <si>
    <t>EXPENSE</t>
  </si>
  <si>
    <t>Salaries</t>
  </si>
  <si>
    <t>City Category</t>
  </si>
  <si>
    <t xml:space="preserve">    Director</t>
  </si>
  <si>
    <t>Wages</t>
  </si>
  <si>
    <t xml:space="preserve">    Staff</t>
  </si>
  <si>
    <t xml:space="preserve">    City Clerk</t>
  </si>
  <si>
    <t>SUBTOTAL</t>
  </si>
  <si>
    <t>Ashley's Numbers</t>
  </si>
  <si>
    <t>Difference</t>
  </si>
  <si>
    <t>Reason</t>
  </si>
  <si>
    <t>Training</t>
  </si>
  <si>
    <t xml:space="preserve">    Staff Education</t>
  </si>
  <si>
    <t xml:space="preserve">    Staff Travel</t>
  </si>
  <si>
    <t xml:space="preserve">    Dues (ILA)</t>
  </si>
  <si>
    <t>Repairs and Maintenance</t>
  </si>
  <si>
    <t xml:space="preserve">    Maintenance</t>
  </si>
  <si>
    <t xml:space="preserve">    Repairs </t>
  </si>
  <si>
    <t xml:space="preserve">    Equipment Repair</t>
  </si>
  <si>
    <t xml:space="preserve">    Major Building projects</t>
  </si>
  <si>
    <t xml:space="preserve">    Furniture-Equip.</t>
  </si>
  <si>
    <t xml:space="preserve">    Utilities</t>
  </si>
  <si>
    <t>Utilities</t>
  </si>
  <si>
    <t xml:space="preserve">    Phone &amp; Internet</t>
  </si>
  <si>
    <t>Library Materials</t>
  </si>
  <si>
    <t xml:space="preserve">    Books</t>
  </si>
  <si>
    <t>Library Books/Sub/DVDs</t>
  </si>
  <si>
    <t xml:space="preserve">    Periodicals</t>
  </si>
  <si>
    <t xml:space="preserve">    Audio Books/DVDs</t>
  </si>
  <si>
    <t>OFFICE OPERATION</t>
  </si>
  <si>
    <t xml:space="preserve">    Office Supplies</t>
  </si>
  <si>
    <t>Office Supplies</t>
  </si>
  <si>
    <t xml:space="preserve">    Technology</t>
  </si>
  <si>
    <t>Operations/Maint. Supplies</t>
  </si>
  <si>
    <t xml:space="preserve">    Postage </t>
  </si>
  <si>
    <t xml:space="preserve">    Public Relations</t>
  </si>
  <si>
    <t xml:space="preserve">    Custodial Supplies</t>
  </si>
  <si>
    <t>PROGRAMS</t>
  </si>
  <si>
    <t xml:space="preserve">    Program Materials</t>
  </si>
  <si>
    <t>Program Materials</t>
  </si>
  <si>
    <t xml:space="preserve">    Summer Reading</t>
  </si>
  <si>
    <t>Summer Reading Program</t>
  </si>
  <si>
    <t>Grants</t>
  </si>
  <si>
    <t>TOTAL EXPENSE</t>
  </si>
  <si>
    <t>REVENUE</t>
  </si>
  <si>
    <t xml:space="preserve">    City</t>
  </si>
  <si>
    <t>$500 of this was set for funds from copies, fax, and fines</t>
  </si>
  <si>
    <t xml:space="preserve">    County</t>
  </si>
  <si>
    <t>Reimb. From State</t>
  </si>
  <si>
    <t xml:space="preserve">    State</t>
  </si>
  <si>
    <t xml:space="preserve">    Copies</t>
  </si>
  <si>
    <t xml:space="preserve">    FAX</t>
  </si>
  <si>
    <t xml:space="preserve">    Fines</t>
  </si>
  <si>
    <t>Donations &amp; Grants</t>
  </si>
  <si>
    <t xml:space="preserve">    Other</t>
  </si>
  <si>
    <t>Bank of Am.</t>
  </si>
  <si>
    <t>People in the Park/Demco</t>
  </si>
  <si>
    <t>TOTAL REVENUES</t>
  </si>
  <si>
    <t>38.52 - check actually to D&amp;L</t>
  </si>
  <si>
    <t>she put in library fees and services - I don't have record on my deposit slip.  All cash/coin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</si>
</sst>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2"/>
      <color rgb="FF00B050"/>
      <name val="Calibri"/>
      <family val="2"/>
      <scheme val="minor"/>
    </font>
    <font>
      <i/>
      <sz val="18"/>
      <color rgb="FF00B050"/>
      <name val="Calibri"/>
      <family val="2"/>
      <scheme val="minor"/>
    </font>
    <font>
      <i/>
      <sz val="16"/>
      <color rgb="FF00B050"/>
      <name val="Calibri"/>
      <family val="2"/>
      <scheme val="minor"/>
    </font>
    <font>
      <b/>
      <i/>
      <sz val="9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4"/>
      <color rgb="FF00B05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9" fontId="3" fillId="5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9" fontId="11" fillId="0" borderId="15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6" xfId="0" applyFont="1" applyBorder="1" applyAlignment="1">
      <alignment horizontal="left" vertic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 wrapText="1"/>
    </xf>
    <xf numFmtId="9" fontId="11" fillId="0" borderId="20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6" fillId="6" borderId="0" xfId="0" applyFont="1" applyFill="1" applyAlignment="1">
      <alignment horizontal="right" vertical="center"/>
    </xf>
    <xf numFmtId="164" fontId="17" fillId="6" borderId="21" xfId="0" applyNumberFormat="1" applyFont="1" applyFill="1" applyBorder="1" applyAlignment="1">
      <alignment horizontal="center" vertical="center"/>
    </xf>
    <xf numFmtId="164" fontId="17" fillId="6" borderId="22" xfId="0" applyNumberFormat="1" applyFont="1" applyFill="1" applyBorder="1" applyAlignment="1">
      <alignment horizontal="center" vertical="center"/>
    </xf>
    <xf numFmtId="164" fontId="17" fillId="6" borderId="23" xfId="0" applyNumberFormat="1" applyFont="1" applyFill="1" applyBorder="1" applyAlignment="1">
      <alignment horizontal="center" vertical="center"/>
    </xf>
    <xf numFmtId="9" fontId="11" fillId="6" borderId="24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/>
    </xf>
    <xf numFmtId="164" fontId="17" fillId="6" borderId="4" xfId="0" applyNumberFormat="1" applyFont="1" applyFill="1" applyBorder="1" applyAlignment="1">
      <alignment horizontal="center" vertical="center"/>
    </xf>
    <xf numFmtId="164" fontId="17" fillId="6" borderId="5" xfId="0" applyNumberFormat="1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64" fontId="18" fillId="0" borderId="25" xfId="0" applyNumberFormat="1" applyFont="1" applyBorder="1" applyAlignment="1">
      <alignment horizontal="center" vertical="center"/>
    </xf>
    <xf numFmtId="164" fontId="18" fillId="0" borderId="26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9" fontId="19" fillId="0" borderId="2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4" fontId="25" fillId="0" borderId="4" xfId="0" applyNumberFormat="1" applyFont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28" fillId="0" borderId="4" xfId="0" applyNumberFormat="1" applyFont="1" applyBorder="1" applyAlignment="1">
      <alignment horizontal="center" vertical="center"/>
    </xf>
    <xf numFmtId="164" fontId="25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21" xfId="0" applyNumberFormat="1" applyFont="1" applyBorder="1" applyAlignment="1">
      <alignment horizontal="center" vertical="center"/>
    </xf>
    <xf numFmtId="164" fontId="25" fillId="0" borderId="23" xfId="0" applyNumberFormat="1" applyFont="1" applyBorder="1" applyAlignment="1">
      <alignment horizontal="center" vertical="center"/>
    </xf>
    <xf numFmtId="164" fontId="26" fillId="0" borderId="23" xfId="0" applyNumberFormat="1" applyFont="1" applyBorder="1" applyAlignment="1">
      <alignment horizontal="center" vertical="center"/>
    </xf>
    <xf numFmtId="164" fontId="27" fillId="0" borderId="23" xfId="0" applyNumberFormat="1" applyFont="1" applyBorder="1" applyAlignment="1">
      <alignment horizontal="center" vertical="center"/>
    </xf>
    <xf numFmtId="164" fontId="28" fillId="0" borderId="23" xfId="0" applyNumberFormat="1" applyFont="1" applyBorder="1" applyAlignment="1">
      <alignment horizontal="center" vertical="center"/>
    </xf>
    <xf numFmtId="164" fontId="25" fillId="0" borderId="2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9" fontId="5" fillId="5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9" fontId="11" fillId="0" borderId="28" xfId="0" applyNumberFormat="1" applyFont="1" applyBorder="1" applyAlignment="1">
      <alignment horizontal="center" vertical="center"/>
    </xf>
    <xf numFmtId="164" fontId="11" fillId="0" borderId="28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9" fontId="11" fillId="0" borderId="29" xfId="0" applyNumberFormat="1" applyFont="1" applyBorder="1" applyAlignment="1">
      <alignment horizontal="center" vertical="center"/>
    </xf>
    <xf numFmtId="164" fontId="11" fillId="0" borderId="29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164" fontId="11" fillId="0" borderId="19" xfId="0" applyNumberFormat="1" applyFont="1" applyBorder="1" applyAlignment="1">
      <alignment horizontal="center" vertical="center"/>
    </xf>
    <xf numFmtId="9" fontId="11" fillId="0" borderId="31" xfId="0" applyNumberFormat="1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/>
    </xf>
    <xf numFmtId="164" fontId="14" fillId="0" borderId="33" xfId="0" applyNumberFormat="1" applyFont="1" applyBorder="1" applyAlignment="1">
      <alignment horizontal="center" vertical="center"/>
    </xf>
    <xf numFmtId="164" fontId="15" fillId="0" borderId="33" xfId="0" applyNumberFormat="1" applyFont="1" applyBorder="1" applyAlignment="1">
      <alignment horizontal="center" vertical="center"/>
    </xf>
    <xf numFmtId="164" fontId="11" fillId="0" borderId="33" xfId="0" applyNumberFormat="1" applyFont="1" applyBorder="1" applyAlignment="1">
      <alignment horizontal="center" vertical="center"/>
    </xf>
    <xf numFmtId="164" fontId="11" fillId="0" borderId="34" xfId="0" applyNumberFormat="1" applyFont="1" applyBorder="1" applyAlignment="1">
      <alignment horizontal="center" vertical="center"/>
    </xf>
    <xf numFmtId="164" fontId="17" fillId="6" borderId="1" xfId="0" applyNumberFormat="1" applyFont="1" applyFill="1" applyBorder="1" applyAlignment="1">
      <alignment horizontal="center" vertical="center"/>
    </xf>
    <xf numFmtId="164" fontId="17" fillId="6" borderId="26" xfId="0" applyNumberFormat="1" applyFont="1" applyFill="1" applyBorder="1" applyAlignment="1">
      <alignment horizontal="center" vertical="center"/>
    </xf>
    <xf numFmtId="9" fontId="11" fillId="6" borderId="2" xfId="0" applyNumberFormat="1" applyFont="1" applyFill="1" applyBorder="1" applyAlignment="1">
      <alignment horizontal="center" vertical="center"/>
    </xf>
    <xf numFmtId="164" fontId="4" fillId="6" borderId="35" xfId="0" applyNumberFormat="1" applyFont="1" applyFill="1" applyBorder="1" applyAlignment="1">
      <alignment horizontal="center" vertical="center"/>
    </xf>
    <xf numFmtId="164" fontId="4" fillId="6" borderId="36" xfId="0" applyNumberFormat="1" applyFont="1" applyFill="1" applyBorder="1" applyAlignment="1">
      <alignment horizontal="center" vertical="center"/>
    </xf>
    <xf numFmtId="164" fontId="5" fillId="6" borderId="36" xfId="0" applyNumberFormat="1" applyFont="1" applyFill="1" applyBorder="1" applyAlignment="1">
      <alignment horizontal="center" vertical="center"/>
    </xf>
    <xf numFmtId="164" fontId="7" fillId="6" borderId="36" xfId="0" applyNumberFormat="1" applyFont="1" applyFill="1" applyBorder="1" applyAlignment="1">
      <alignment horizontal="center" vertical="center"/>
    </xf>
    <xf numFmtId="164" fontId="6" fillId="6" borderId="36" xfId="0" applyNumberFormat="1" applyFont="1" applyFill="1" applyBorder="1" applyAlignment="1">
      <alignment horizontal="center" vertical="center"/>
    </xf>
    <xf numFmtId="164" fontId="17" fillId="6" borderId="36" xfId="0" applyNumberFormat="1" applyFont="1" applyFill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64" fontId="11" fillId="0" borderId="12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164" fontId="11" fillId="0" borderId="32" xfId="0" applyNumberFormat="1" applyFont="1" applyBorder="1" applyAlignment="1">
      <alignment horizontal="center" vertical="center"/>
    </xf>
    <xf numFmtId="164" fontId="11" fillId="0" borderId="38" xfId="0" applyNumberFormat="1" applyFont="1" applyBorder="1" applyAlignment="1">
      <alignment horizontal="center" vertical="center"/>
    </xf>
    <xf numFmtId="9" fontId="11" fillId="0" borderId="34" xfId="0" applyNumberFormat="1" applyFont="1" applyBorder="1" applyAlignment="1">
      <alignment horizontal="center" vertical="center"/>
    </xf>
    <xf numFmtId="164" fontId="29" fillId="0" borderId="28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11" fillId="0" borderId="31" xfId="0" applyNumberFormat="1" applyFont="1" applyBorder="1" applyAlignment="1">
      <alignment horizontal="center" vertical="center"/>
    </xf>
    <xf numFmtId="164" fontId="4" fillId="6" borderId="39" xfId="0" applyNumberFormat="1" applyFont="1" applyFill="1" applyBorder="1" applyAlignment="1">
      <alignment horizontal="center" vertical="center"/>
    </xf>
    <xf numFmtId="164" fontId="30" fillId="0" borderId="35" xfId="0" applyNumberFormat="1" applyFont="1" applyBorder="1" applyAlignment="1">
      <alignment horizontal="center" vertical="center"/>
    </xf>
    <xf numFmtId="164" fontId="30" fillId="0" borderId="40" xfId="0" applyNumberFormat="1" applyFont="1" applyBorder="1" applyAlignment="1">
      <alignment horizontal="center" vertical="center"/>
    </xf>
    <xf numFmtId="164" fontId="30" fillId="0" borderId="36" xfId="0" applyNumberFormat="1" applyFont="1" applyBorder="1" applyAlignment="1">
      <alignment horizontal="center" vertical="center"/>
    </xf>
    <xf numFmtId="9" fontId="31" fillId="0" borderId="41" xfId="0" applyNumberFormat="1" applyFont="1" applyBorder="1" applyAlignment="1">
      <alignment horizontal="center" vertical="center"/>
    </xf>
    <xf numFmtId="164" fontId="32" fillId="0" borderId="35" xfId="0" applyNumberFormat="1" applyFont="1" applyBorder="1" applyAlignment="1">
      <alignment horizontal="center" vertical="center"/>
    </xf>
    <xf numFmtId="164" fontId="32" fillId="0" borderId="36" xfId="0" applyNumberFormat="1" applyFont="1" applyBorder="1" applyAlignment="1">
      <alignment horizontal="center" vertical="center"/>
    </xf>
    <xf numFmtId="164" fontId="33" fillId="0" borderId="36" xfId="0" applyNumberFormat="1" applyFont="1" applyBorder="1" applyAlignment="1">
      <alignment horizontal="center" vertical="center"/>
    </xf>
    <xf numFmtId="164" fontId="32" fillId="5" borderId="36" xfId="0" applyNumberFormat="1" applyFont="1" applyFill="1" applyBorder="1" applyAlignment="1">
      <alignment horizontal="center" vertical="center"/>
    </xf>
    <xf numFmtId="164" fontId="34" fillId="0" borderId="36" xfId="0" applyNumberFormat="1" applyFont="1" applyBorder="1" applyAlignment="1">
      <alignment horizontal="center" vertical="center"/>
    </xf>
    <xf numFmtId="164" fontId="35" fillId="0" borderId="36" xfId="0" applyNumberFormat="1" applyFont="1" applyBorder="1" applyAlignment="1">
      <alignment horizontal="center" vertical="center"/>
    </xf>
    <xf numFmtId="164" fontId="32" fillId="0" borderId="39" xfId="0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25" fillId="5" borderId="4" xfId="0" applyNumberFormat="1" applyFont="1" applyFill="1" applyBorder="1" applyAlignment="1">
      <alignment horizontal="center" vertical="center"/>
    </xf>
    <xf numFmtId="9" fontId="29" fillId="7" borderId="28" xfId="0" applyNumberFormat="1" applyFont="1" applyFill="1" applyBorder="1" applyAlignment="1">
      <alignment horizontal="center" vertical="center"/>
    </xf>
    <xf numFmtId="164" fontId="12" fillId="5" borderId="9" xfId="0" applyNumberFormat="1" applyFont="1" applyFill="1" applyBorder="1" applyAlignment="1">
      <alignment horizontal="center" vertical="center"/>
    </xf>
    <xf numFmtId="9" fontId="36" fillId="0" borderId="34" xfId="0" applyNumberFormat="1" applyFont="1" applyBorder="1" applyAlignment="1">
      <alignment horizontal="center" vertical="center"/>
    </xf>
    <xf numFmtId="9" fontId="11" fillId="6" borderId="5" xfId="0" applyNumberFormat="1" applyFont="1" applyFill="1" applyBorder="1" applyAlignment="1">
      <alignment horizontal="center" vertical="center"/>
    </xf>
    <xf numFmtId="164" fontId="4" fillId="6" borderId="26" xfId="0" applyNumberFormat="1" applyFont="1" applyFill="1" applyBorder="1" applyAlignment="1">
      <alignment horizontal="center" vertical="center"/>
    </xf>
    <xf numFmtId="164" fontId="5" fillId="6" borderId="26" xfId="0" applyNumberFormat="1" applyFont="1" applyFill="1" applyBorder="1" applyAlignment="1">
      <alignment horizontal="center" vertical="center"/>
    </xf>
    <xf numFmtId="164" fontId="7" fillId="6" borderId="26" xfId="0" applyNumberFormat="1" applyFont="1" applyFill="1" applyBorder="1" applyAlignment="1">
      <alignment horizontal="center" vertical="center"/>
    </xf>
    <xf numFmtId="164" fontId="6" fillId="6" borderId="26" xfId="0" applyNumberFormat="1" applyFont="1" applyFill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64" fontId="30" fillId="0" borderId="26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9" fontId="31" fillId="0" borderId="5" xfId="0" applyNumberFormat="1" applyFont="1" applyBorder="1" applyAlignment="1">
      <alignment horizontal="center" vertical="center"/>
    </xf>
    <xf numFmtId="164" fontId="32" fillId="0" borderId="40" xfId="0" applyNumberFormat="1" applyFont="1" applyBorder="1" applyAlignment="1">
      <alignment horizontal="center" vertical="center"/>
    </xf>
    <xf numFmtId="164" fontId="30" fillId="0" borderId="39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64" fontId="25" fillId="0" borderId="40" xfId="0" applyNumberFormat="1" applyFont="1" applyBorder="1" applyAlignment="1">
      <alignment horizontal="center" vertical="center"/>
    </xf>
    <xf numFmtId="164" fontId="25" fillId="0" borderId="36" xfId="0" applyNumberFormat="1" applyFont="1" applyBorder="1" applyAlignment="1">
      <alignment horizontal="center" vertical="center"/>
    </xf>
    <xf numFmtId="164" fontId="26" fillId="0" borderId="36" xfId="0" applyNumberFormat="1" applyFont="1" applyBorder="1" applyAlignment="1">
      <alignment horizontal="center" vertical="center"/>
    </xf>
    <xf numFmtId="164" fontId="27" fillId="0" borderId="36" xfId="0" applyNumberFormat="1" applyFont="1" applyBorder="1" applyAlignment="1">
      <alignment horizontal="center" vertical="center"/>
    </xf>
    <xf numFmtId="164" fontId="28" fillId="0" borderId="36" xfId="0" applyNumberFormat="1" applyFont="1" applyBorder="1" applyAlignment="1">
      <alignment horizontal="center" vertical="center"/>
    </xf>
    <xf numFmtId="164" fontId="25" fillId="0" borderId="39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164" fontId="12" fillId="0" borderId="13" xfId="0" applyNumberFormat="1" applyFont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8" fillId="6" borderId="11" xfId="0" applyFont="1" applyFill="1" applyBorder="1" applyAlignment="1">
      <alignment horizontal="right" vertical="center"/>
    </xf>
    <xf numFmtId="164" fontId="11" fillId="6" borderId="13" xfId="0" applyNumberFormat="1" applyFont="1" applyFill="1" applyBorder="1" applyAlignment="1">
      <alignment horizontal="center" vertical="center"/>
    </xf>
    <xf numFmtId="164" fontId="11" fillId="6" borderId="14" xfId="0" applyNumberFormat="1" applyFont="1" applyFill="1" applyBorder="1" applyAlignment="1">
      <alignment horizontal="center" vertical="center"/>
    </xf>
    <xf numFmtId="9" fontId="11" fillId="6" borderId="29" xfId="0" applyNumberFormat="1" applyFont="1" applyFill="1" applyBorder="1" applyAlignment="1">
      <alignment horizontal="center" vertical="center"/>
    </xf>
    <xf numFmtId="164" fontId="12" fillId="6" borderId="13" xfId="0" applyNumberFormat="1" applyFont="1" applyFill="1" applyBorder="1" applyAlignment="1">
      <alignment horizontal="center" vertical="center"/>
    </xf>
    <xf numFmtId="164" fontId="13" fillId="6" borderId="13" xfId="0" applyNumberFormat="1" applyFont="1" applyFill="1" applyBorder="1" applyAlignment="1">
      <alignment horizontal="center" vertical="center"/>
    </xf>
    <xf numFmtId="164" fontId="14" fillId="6" borderId="13" xfId="0" applyNumberFormat="1" applyFont="1" applyFill="1" applyBorder="1" applyAlignment="1">
      <alignment horizontal="center" vertical="center"/>
    </xf>
    <xf numFmtId="164" fontId="15" fillId="6" borderId="13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9" fontId="18" fillId="0" borderId="29" xfId="0" applyNumberFormat="1" applyFont="1" applyBorder="1" applyAlignment="1">
      <alignment horizontal="center" vertical="center"/>
    </xf>
    <xf numFmtId="164" fontId="20" fillId="0" borderId="18" xfId="0" applyNumberFormat="1" applyFont="1" applyBorder="1" applyAlignment="1">
      <alignment horizontal="center" vertical="center"/>
    </xf>
    <xf numFmtId="164" fontId="20" fillId="0" borderId="19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/>
    </xf>
    <xf numFmtId="164" fontId="22" fillId="0" borderId="19" xfId="0" applyNumberFormat="1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164" fontId="18" fillId="0" borderId="31" xfId="0" applyNumberFormat="1" applyFont="1" applyBorder="1" applyAlignment="1">
      <alignment horizontal="center" vertical="center"/>
    </xf>
    <xf numFmtId="0" fontId="39" fillId="0" borderId="37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9" fontId="19" fillId="0" borderId="5" xfId="0" applyNumberFormat="1" applyFont="1" applyBorder="1" applyAlignment="1">
      <alignment horizontal="center" vertical="center"/>
    </xf>
    <xf numFmtId="164" fontId="40" fillId="0" borderId="44" xfId="0" applyNumberFormat="1" applyFont="1" applyBorder="1" applyAlignment="1">
      <alignment horizontal="center" vertical="center"/>
    </xf>
    <xf numFmtId="164" fontId="40" fillId="0" borderId="45" xfId="0" applyNumberFormat="1" applyFont="1" applyBorder="1" applyAlignment="1">
      <alignment horizontal="center" vertical="center"/>
    </xf>
    <xf numFmtId="164" fontId="41" fillId="0" borderId="45" xfId="0" applyNumberFormat="1" applyFont="1" applyBorder="1" applyAlignment="1">
      <alignment horizontal="center" vertical="center"/>
    </xf>
    <xf numFmtId="164" fontId="42" fillId="0" borderId="45" xfId="0" applyNumberFormat="1" applyFont="1" applyBorder="1" applyAlignment="1">
      <alignment horizontal="center" vertical="center"/>
    </xf>
    <xf numFmtId="164" fontId="43" fillId="0" borderId="45" xfId="0" applyNumberFormat="1" applyFont="1" applyBorder="1" applyAlignment="1">
      <alignment horizontal="center" vertical="center"/>
    </xf>
    <xf numFmtId="164" fontId="19" fillId="0" borderId="45" xfId="0" applyNumberFormat="1" applyFont="1" applyBorder="1" applyAlignment="1">
      <alignment horizontal="center" vertical="center"/>
    </xf>
    <xf numFmtId="164" fontId="19" fillId="0" borderId="46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9" fontId="29" fillId="7" borderId="10" xfId="0" applyNumberFormat="1" applyFont="1" applyFill="1" applyBorder="1" applyAlignment="1">
      <alignment horizontal="center" vertical="center"/>
    </xf>
    <xf numFmtId="164" fontId="12" fillId="0" borderId="48" xfId="0" applyNumberFormat="1" applyFont="1" applyBorder="1" applyAlignment="1">
      <alignment horizontal="center" vertical="center"/>
    </xf>
    <xf numFmtId="164" fontId="12" fillId="0" borderId="49" xfId="0" applyNumberFormat="1" applyFont="1" applyBorder="1" applyAlignment="1">
      <alignment horizontal="center" vertical="center"/>
    </xf>
    <xf numFmtId="164" fontId="13" fillId="0" borderId="49" xfId="0" applyNumberFormat="1" applyFont="1" applyBorder="1" applyAlignment="1">
      <alignment horizontal="center" vertical="center"/>
    </xf>
    <xf numFmtId="164" fontId="14" fillId="0" borderId="49" xfId="0" applyNumberFormat="1" applyFont="1" applyBorder="1" applyAlignment="1">
      <alignment horizontal="center" vertical="center"/>
    </xf>
    <xf numFmtId="164" fontId="15" fillId="0" borderId="49" xfId="0" applyNumberFormat="1" applyFont="1" applyBorder="1" applyAlignment="1">
      <alignment horizontal="center" vertical="center"/>
    </xf>
    <xf numFmtId="164" fontId="11" fillId="0" borderId="49" xfId="0" applyNumberFormat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 vertical="center"/>
    </xf>
    <xf numFmtId="0" fontId="39" fillId="6" borderId="25" xfId="0" applyFont="1" applyFill="1" applyBorder="1" applyAlignment="1">
      <alignment horizontal="right" vertical="center"/>
    </xf>
    <xf numFmtId="164" fontId="11" fillId="6" borderId="1" xfId="0" applyNumberFormat="1" applyFont="1" applyFill="1" applyBorder="1" applyAlignment="1">
      <alignment horizontal="center" vertical="center"/>
    </xf>
    <xf numFmtId="164" fontId="11" fillId="6" borderId="26" xfId="0" applyNumberFormat="1" applyFont="1" applyFill="1" applyBorder="1" applyAlignment="1">
      <alignment horizontal="center" vertical="center"/>
    </xf>
    <xf numFmtId="164" fontId="11" fillId="6" borderId="4" xfId="0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164" fontId="12" fillId="6" borderId="26" xfId="0" applyNumberFormat="1" applyFont="1" applyFill="1" applyBorder="1" applyAlignment="1">
      <alignment horizontal="center" vertical="center"/>
    </xf>
    <xf numFmtId="164" fontId="13" fillId="6" borderId="26" xfId="0" applyNumberFormat="1" applyFont="1" applyFill="1" applyBorder="1" applyAlignment="1">
      <alignment horizontal="center" vertical="center"/>
    </xf>
    <xf numFmtId="164" fontId="14" fillId="6" borderId="26" xfId="0" applyNumberFormat="1" applyFont="1" applyFill="1" applyBorder="1" applyAlignment="1">
      <alignment horizontal="center" vertical="center"/>
    </xf>
    <xf numFmtId="164" fontId="15" fillId="6" borderId="26" xfId="0" applyNumberFormat="1" applyFont="1" applyFill="1" applyBorder="1" applyAlignment="1">
      <alignment horizontal="center" vertical="center"/>
    </xf>
    <xf numFmtId="164" fontId="12" fillId="6" borderId="51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64" fontId="18" fillId="0" borderId="52" xfId="0" applyNumberFormat="1" applyFont="1" applyBorder="1" applyAlignment="1">
      <alignment horizontal="center" vertical="center"/>
    </xf>
    <xf numFmtId="164" fontId="18" fillId="0" borderId="49" xfId="0" applyNumberFormat="1" applyFont="1" applyBorder="1" applyAlignment="1">
      <alignment horizontal="center" vertical="center"/>
    </xf>
    <xf numFmtId="9" fontId="18" fillId="0" borderId="50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/>
    </xf>
    <xf numFmtId="164" fontId="21" fillId="0" borderId="14" xfId="0" applyNumberFormat="1" applyFont="1" applyBorder="1" applyAlignment="1">
      <alignment horizontal="center" vertical="center"/>
    </xf>
    <xf numFmtId="164" fontId="22" fillId="0" borderId="14" xfId="0" applyNumberFormat="1" applyFont="1" applyBorder="1" applyAlignment="1">
      <alignment horizontal="center" vertical="center"/>
    </xf>
    <xf numFmtId="164" fontId="23" fillId="0" borderId="14" xfId="0" applyNumberFormat="1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9" fontId="19" fillId="0" borderId="0" xfId="0" applyNumberFormat="1" applyFont="1" applyAlignment="1">
      <alignment horizontal="center" vertical="center"/>
    </xf>
    <xf numFmtId="164" fontId="40" fillId="0" borderId="53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0" fillId="6" borderId="6" xfId="0" applyFont="1" applyFill="1" applyBorder="1" applyAlignment="1">
      <alignment horizontal="left" vertical="center"/>
    </xf>
    <xf numFmtId="164" fontId="11" fillId="6" borderId="7" xfId="0" applyNumberFormat="1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vertical="center"/>
    </xf>
    <xf numFmtId="164" fontId="11" fillId="6" borderId="8" xfId="0" applyNumberFormat="1" applyFont="1" applyFill="1" applyBorder="1" applyAlignment="1">
      <alignment horizontal="center" vertical="center"/>
    </xf>
    <xf numFmtId="164" fontId="11" fillId="6" borderId="9" xfId="0" applyNumberFormat="1" applyFont="1" applyFill="1" applyBorder="1" applyAlignment="1">
      <alignment horizontal="center" vertical="center"/>
    </xf>
    <xf numFmtId="9" fontId="11" fillId="6" borderId="28" xfId="0" applyNumberFormat="1" applyFont="1" applyFill="1" applyBorder="1" applyAlignment="1">
      <alignment horizontal="center" vertical="center"/>
    </xf>
    <xf numFmtId="164" fontId="12" fillId="6" borderId="8" xfId="0" applyNumberFormat="1" applyFont="1" applyFill="1" applyBorder="1" applyAlignment="1">
      <alignment horizontal="center" vertical="center"/>
    </xf>
    <xf numFmtId="164" fontId="12" fillId="6" borderId="9" xfId="0" applyNumberFormat="1" applyFont="1" applyFill="1" applyBorder="1" applyAlignment="1">
      <alignment horizontal="center" vertical="center"/>
    </xf>
    <xf numFmtId="164" fontId="13" fillId="6" borderId="9" xfId="0" applyNumberFormat="1" applyFont="1" applyFill="1" applyBorder="1" applyAlignment="1">
      <alignment horizontal="center" vertical="center"/>
    </xf>
    <xf numFmtId="164" fontId="14" fillId="6" borderId="9" xfId="0" applyNumberFormat="1" applyFont="1" applyFill="1" applyBorder="1" applyAlignment="1">
      <alignment horizontal="center" vertical="center"/>
    </xf>
    <xf numFmtId="164" fontId="15" fillId="6" borderId="9" xfId="0" applyNumberFormat="1" applyFont="1" applyFill="1" applyBorder="1" applyAlignment="1">
      <alignment horizontal="center" vertical="center"/>
    </xf>
    <xf numFmtId="164" fontId="11" fillId="6" borderId="28" xfId="0" applyNumberFormat="1" applyFont="1" applyFill="1" applyBorder="1" applyAlignment="1">
      <alignment horizontal="center" vertical="center"/>
    </xf>
    <xf numFmtId="164" fontId="18" fillId="0" borderId="32" xfId="0" applyNumberFormat="1" applyFont="1" applyBorder="1" applyAlignment="1">
      <alignment horizontal="center" vertical="center"/>
    </xf>
    <xf numFmtId="164" fontId="18" fillId="0" borderId="38" xfId="0" applyNumberFormat="1" applyFont="1" applyBorder="1" applyAlignment="1">
      <alignment horizontal="center" vertical="center"/>
    </xf>
    <xf numFmtId="164" fontId="18" fillId="0" borderId="33" xfId="0" applyNumberFormat="1" applyFont="1" applyBorder="1" applyAlignment="1">
      <alignment horizontal="center" vertical="center"/>
    </xf>
    <xf numFmtId="9" fontId="18" fillId="0" borderId="34" xfId="0" applyNumberFormat="1" applyFont="1" applyBorder="1" applyAlignment="1">
      <alignment horizontal="center" vertical="center"/>
    </xf>
    <xf numFmtId="164" fontId="21" fillId="0" borderId="18" xfId="0" applyNumberFormat="1" applyFont="1" applyBorder="1" applyAlignment="1">
      <alignment horizontal="center" vertical="center"/>
    </xf>
    <xf numFmtId="164" fontId="22" fillId="0" borderId="18" xfId="0" applyNumberFormat="1" applyFont="1" applyBorder="1" applyAlignment="1">
      <alignment horizontal="center" vertical="center"/>
    </xf>
    <xf numFmtId="164" fontId="23" fillId="0" borderId="18" xfId="0" applyNumberFormat="1" applyFont="1" applyBorder="1" applyAlignment="1">
      <alignment horizontal="center" vertical="center"/>
    </xf>
    <xf numFmtId="164" fontId="20" fillId="0" borderId="54" xfId="0" applyNumberFormat="1" applyFont="1" applyBorder="1" applyAlignment="1">
      <alignment horizontal="center" vertical="center"/>
    </xf>
    <xf numFmtId="0" fontId="11" fillId="6" borderId="30" xfId="0" applyFont="1" applyFill="1" applyBorder="1" applyAlignment="1">
      <alignment horizontal="left" vertical="center"/>
    </xf>
    <xf numFmtId="164" fontId="11" fillId="6" borderId="35" xfId="0" applyNumberFormat="1" applyFont="1" applyFill="1" applyBorder="1" applyAlignment="1">
      <alignment horizontal="center" vertical="center"/>
    </xf>
    <xf numFmtId="164" fontId="11" fillId="6" borderId="40" xfId="0" applyNumberFormat="1" applyFont="1" applyFill="1" applyBorder="1" applyAlignment="1">
      <alignment horizontal="center" vertical="center"/>
    </xf>
    <xf numFmtId="164" fontId="11" fillId="6" borderId="36" xfId="0" applyNumberFormat="1" applyFont="1" applyFill="1" applyBorder="1" applyAlignment="1">
      <alignment horizontal="center" vertical="center"/>
    </xf>
    <xf numFmtId="9" fontId="11" fillId="6" borderId="39" xfId="0" applyNumberFormat="1" applyFont="1" applyFill="1" applyBorder="1" applyAlignment="1">
      <alignment horizontal="center" vertical="center"/>
    </xf>
    <xf numFmtId="164" fontId="12" fillId="6" borderId="18" xfId="0" applyNumberFormat="1" applyFont="1" applyFill="1" applyBorder="1" applyAlignment="1">
      <alignment horizontal="center" vertical="center"/>
    </xf>
    <xf numFmtId="164" fontId="12" fillId="6" borderId="19" xfId="0" applyNumberFormat="1" applyFont="1" applyFill="1" applyBorder="1" applyAlignment="1">
      <alignment horizontal="center" vertical="center"/>
    </xf>
    <xf numFmtId="164" fontId="13" fillId="6" borderId="19" xfId="0" applyNumberFormat="1" applyFont="1" applyFill="1" applyBorder="1" applyAlignment="1">
      <alignment horizontal="center" vertical="center"/>
    </xf>
    <xf numFmtId="164" fontId="14" fillId="6" borderId="19" xfId="0" applyNumberFormat="1" applyFont="1" applyFill="1" applyBorder="1" applyAlignment="1">
      <alignment horizontal="center" vertical="center"/>
    </xf>
    <xf numFmtId="164" fontId="15" fillId="6" borderId="19" xfId="0" applyNumberFormat="1" applyFont="1" applyFill="1" applyBorder="1" applyAlignment="1">
      <alignment horizontal="center" vertical="center"/>
    </xf>
    <xf numFmtId="164" fontId="11" fillId="6" borderId="19" xfId="0" applyNumberFormat="1" applyFont="1" applyFill="1" applyBorder="1" applyAlignment="1">
      <alignment horizontal="center" vertical="center"/>
    </xf>
    <xf numFmtId="164" fontId="11" fillId="6" borderId="31" xfId="0" applyNumberFormat="1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64" fontId="20" fillId="0" borderId="38" xfId="0" applyNumberFormat="1" applyFont="1" applyBorder="1" applyAlignment="1">
      <alignment horizontal="center" vertical="center"/>
    </xf>
    <xf numFmtId="164" fontId="21" fillId="0" borderId="38" xfId="0" applyNumberFormat="1" applyFont="1" applyBorder="1" applyAlignment="1">
      <alignment horizontal="center" vertical="center"/>
    </xf>
    <xf numFmtId="164" fontId="22" fillId="0" borderId="38" xfId="0" applyNumberFormat="1" applyFont="1" applyBorder="1" applyAlignment="1">
      <alignment horizontal="center" vertical="center"/>
    </xf>
    <xf numFmtId="164" fontId="23" fillId="0" borderId="38" xfId="0" applyNumberFormat="1" applyFont="1" applyBorder="1" applyAlignment="1">
      <alignment horizontal="center" vertical="center"/>
    </xf>
    <xf numFmtId="164" fontId="20" fillId="0" borderId="55" xfId="0" applyNumberFormat="1" applyFont="1" applyBorder="1" applyAlignment="1">
      <alignment horizontal="center" vertical="center"/>
    </xf>
    <xf numFmtId="0" fontId="18" fillId="0" borderId="43" xfId="0" applyFont="1" applyBorder="1" applyAlignment="1">
      <alignment horizontal="left" vertical="center"/>
    </xf>
    <xf numFmtId="164" fontId="19" fillId="0" borderId="53" xfId="0" applyNumberFormat="1" applyFont="1" applyBorder="1" applyAlignment="1">
      <alignment horizontal="center" vertical="center"/>
    </xf>
    <xf numFmtId="9" fontId="19" fillId="0" borderId="56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164" fontId="11" fillId="8" borderId="26" xfId="0" applyNumberFormat="1" applyFont="1" applyFill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center" vertical="center"/>
    </xf>
    <xf numFmtId="9" fontId="11" fillId="0" borderId="5" xfId="0" applyNumberFormat="1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164" fontId="18" fillId="0" borderId="22" xfId="0" applyNumberFormat="1" applyFont="1" applyBorder="1" applyAlignment="1">
      <alignment horizontal="center" vertical="center"/>
    </xf>
    <xf numFmtId="164" fontId="18" fillId="0" borderId="23" xfId="0" applyNumberFormat="1" applyFont="1" applyBorder="1" applyAlignment="1">
      <alignment horizontal="center" vertical="center"/>
    </xf>
    <xf numFmtId="9" fontId="18" fillId="0" borderId="27" xfId="0" applyNumberFormat="1" applyFont="1" applyBorder="1" applyAlignment="1">
      <alignment horizontal="center" vertical="center"/>
    </xf>
    <xf numFmtId="164" fontId="20" fillId="0" borderId="22" xfId="0" applyNumberFormat="1" applyFont="1" applyBorder="1" applyAlignment="1">
      <alignment horizontal="center" vertical="center"/>
    </xf>
    <xf numFmtId="164" fontId="21" fillId="0" borderId="22" xfId="0" applyNumberFormat="1" applyFont="1" applyBorder="1" applyAlignment="1">
      <alignment horizontal="center" vertical="center"/>
    </xf>
    <xf numFmtId="164" fontId="22" fillId="0" borderId="22" xfId="0" applyNumberFormat="1" applyFont="1" applyBorder="1" applyAlignment="1">
      <alignment horizontal="center" vertical="center"/>
    </xf>
    <xf numFmtId="164" fontId="23" fillId="0" borderId="22" xfId="0" applyNumberFormat="1" applyFont="1" applyBorder="1" applyAlignment="1">
      <alignment horizontal="center" vertical="center"/>
    </xf>
    <xf numFmtId="164" fontId="20" fillId="0" borderId="58" xfId="0" applyNumberFormat="1" applyFont="1" applyBorder="1" applyAlignment="1">
      <alignment horizontal="center" vertical="center"/>
    </xf>
    <xf numFmtId="164" fontId="25" fillId="0" borderId="26" xfId="0" applyNumberFormat="1" applyFont="1" applyBorder="1" applyAlignment="1">
      <alignment horizontal="center" vertical="center"/>
    </xf>
    <xf numFmtId="0" fontId="45" fillId="0" borderId="0" xfId="0" applyFont="1" applyAlignment="1">
      <alignment horizontal="right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/>
    </xf>
    <xf numFmtId="164" fontId="46" fillId="0" borderId="26" xfId="0" applyNumberFormat="1" applyFont="1" applyBorder="1" applyAlignment="1">
      <alignment horizontal="center" vertical="center"/>
    </xf>
    <xf numFmtId="164" fontId="46" fillId="0" borderId="4" xfId="0" applyNumberFormat="1" applyFont="1" applyBorder="1" applyAlignment="1">
      <alignment horizontal="center" vertical="center"/>
    </xf>
    <xf numFmtId="164" fontId="47" fillId="10" borderId="4" xfId="0" applyNumberFormat="1" applyFont="1" applyFill="1" applyBorder="1" applyAlignment="1">
      <alignment horizontal="center" vertical="center"/>
    </xf>
    <xf numFmtId="9" fontId="48" fillId="0" borderId="5" xfId="0" applyNumberFormat="1" applyFont="1" applyBorder="1" applyAlignment="1">
      <alignment horizontal="center" vertical="center"/>
    </xf>
    <xf numFmtId="164" fontId="20" fillId="0" borderId="26" xfId="0" applyNumberFormat="1" applyFont="1" applyBorder="1" applyAlignment="1">
      <alignment horizontal="center" vertical="center"/>
    </xf>
    <xf numFmtId="164" fontId="21" fillId="0" borderId="26" xfId="0" applyNumberFormat="1" applyFont="1" applyBorder="1" applyAlignment="1">
      <alignment horizontal="center" vertical="center"/>
    </xf>
    <xf numFmtId="164" fontId="22" fillId="0" borderId="26" xfId="0" applyNumberFormat="1" applyFont="1" applyBorder="1" applyAlignment="1">
      <alignment horizontal="center" vertical="center"/>
    </xf>
    <xf numFmtId="164" fontId="23" fillId="0" borderId="26" xfId="0" applyNumberFormat="1" applyFont="1" applyBorder="1" applyAlignment="1">
      <alignment horizontal="center" vertical="center"/>
    </xf>
    <xf numFmtId="164" fontId="49" fillId="0" borderId="0" xfId="0" applyNumberFormat="1" applyFont="1" applyAlignment="1">
      <alignment horizontal="left" vertical="center"/>
    </xf>
    <xf numFmtId="164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vertical="center"/>
    </xf>
    <xf numFmtId="164" fontId="49" fillId="0" borderId="0" xfId="0" applyNumberFormat="1" applyFont="1" applyAlignment="1">
      <alignment vertical="center"/>
    </xf>
    <xf numFmtId="164" fontId="50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11" fillId="0" borderId="9" xfId="0" applyNumberFormat="1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center" vertical="center"/>
    </xf>
    <xf numFmtId="164" fontId="51" fillId="0" borderId="14" xfId="0" applyNumberFormat="1" applyFont="1" applyBorder="1" applyAlignment="1">
      <alignment horizontal="center" vertical="center"/>
    </xf>
    <xf numFmtId="164" fontId="13" fillId="5" borderId="14" xfId="0" applyNumberFormat="1" applyFont="1" applyFill="1" applyBorder="1" applyAlignment="1">
      <alignment horizontal="center" vertical="center"/>
    </xf>
    <xf numFmtId="164" fontId="1" fillId="6" borderId="3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9" fontId="1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6" borderId="0" xfId="0" applyNumberFormat="1" applyFill="1" applyAlignment="1">
      <alignment vertical="center"/>
    </xf>
    <xf numFmtId="164" fontId="53" fillId="0" borderId="0" xfId="0" applyNumberFormat="1" applyFont="1" applyAlignment="1">
      <alignment vertical="center"/>
    </xf>
    <xf numFmtId="164" fontId="0" fillId="0" borderId="0" xfId="0" applyNumberFormat="1" applyAlignment="1">
      <alignment horizontal="right" vertical="center"/>
    </xf>
    <xf numFmtId="164" fontId="54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0" fillId="0" borderId="0" xfId="0" applyNumberFormat="1" applyAlignment="1">
      <alignment horizontal="left" vertical="center"/>
    </xf>
    <xf numFmtId="0" fontId="5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7EA9-B634-48EE-BFEF-BDA06C9490CA}">
  <sheetPr>
    <pageSetUpPr fitToPage="1"/>
  </sheetPr>
  <dimension ref="A1:Z116"/>
  <sheetViews>
    <sheetView tabSelected="1" workbookViewId="0">
      <selection sqref="A1:XFD1048576"/>
    </sheetView>
  </sheetViews>
  <sheetFormatPr defaultRowHeight="23.25" x14ac:dyDescent="0.25"/>
  <cols>
    <col min="1" max="1" width="21.85546875" style="380" bestFit="1" customWidth="1"/>
    <col min="2" max="2" width="0" style="189" hidden="1" customWidth="1"/>
    <col min="3" max="4" width="15.140625" style="189" bestFit="1" customWidth="1"/>
    <col min="5" max="5" width="0" style="189" hidden="1" customWidth="1"/>
    <col min="6" max="6" width="15.140625" style="50" bestFit="1" customWidth="1"/>
    <col min="7" max="7" width="15.140625" style="381" bestFit="1" customWidth="1"/>
    <col min="8" max="8" width="10.42578125" style="382" bestFit="1" customWidth="1"/>
    <col min="9" max="9" width="9.140625" style="19"/>
    <col min="10" max="10" width="8.85546875" style="19" customWidth="1"/>
    <col min="11" max="11" width="9.140625" style="390"/>
    <col min="12" max="12" width="9.7109375" style="391" bestFit="1" customWidth="1"/>
    <col min="13" max="13" width="12.28515625" style="19" customWidth="1"/>
    <col min="14" max="14" width="19.42578125" style="19" customWidth="1"/>
    <col min="15" max="15" width="21.140625" style="19" customWidth="1"/>
    <col min="16" max="17" width="9.140625" style="19" hidden="1" customWidth="1"/>
    <col min="18" max="18" width="9.140625" style="392" hidden="1" customWidth="1"/>
    <col min="19" max="19" width="9.140625" style="393" hidden="1" customWidth="1"/>
    <col min="20" max="20" width="9.140625" style="392" hidden="1" customWidth="1"/>
    <col min="21" max="21" width="9.140625" style="189" hidden="1" customWidth="1"/>
    <col min="22" max="22" width="13.85546875" style="394" customWidth="1"/>
    <col min="23" max="23" width="9.42578125" style="19" bestFit="1" customWidth="1"/>
    <col min="24" max="16384" width="9.140625" style="19"/>
  </cols>
  <sheetData>
    <row r="1" spans="1:26" s="16" customFormat="1" ht="60" customHeight="1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/>
      <c r="F1" s="5" t="s">
        <v>4</v>
      </c>
      <c r="G1" s="6" t="s">
        <v>5</v>
      </c>
      <c r="H1" s="7" t="s">
        <v>6</v>
      </c>
      <c r="I1" s="8" t="s">
        <v>7</v>
      </c>
      <c r="J1" s="9" t="s">
        <v>8</v>
      </c>
      <c r="K1" s="10" t="s">
        <v>9</v>
      </c>
      <c r="L1" s="9" t="s">
        <v>10</v>
      </c>
      <c r="M1" s="9" t="s">
        <v>11</v>
      </c>
      <c r="N1" s="9" t="s">
        <v>12</v>
      </c>
      <c r="O1" s="11" t="s">
        <v>13</v>
      </c>
      <c r="P1" s="9" t="s">
        <v>14</v>
      </c>
      <c r="Q1" s="9" t="s">
        <v>15</v>
      </c>
      <c r="R1" s="12" t="s">
        <v>16</v>
      </c>
      <c r="S1" s="11" t="s">
        <v>17</v>
      </c>
      <c r="T1" s="13" t="s">
        <v>18</v>
      </c>
      <c r="U1" s="14" t="s">
        <v>19</v>
      </c>
      <c r="V1" s="15"/>
    </row>
    <row r="2" spans="1:26" ht="21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</row>
    <row r="3" spans="1:26" s="27" customFormat="1" ht="57" thickBot="1" x14ac:dyDescent="0.3">
      <c r="A3" s="20" t="s">
        <v>21</v>
      </c>
      <c r="B3" s="20"/>
      <c r="C3" s="20"/>
      <c r="D3" s="20"/>
      <c r="E3" s="20" t="s">
        <v>22</v>
      </c>
      <c r="F3" s="20"/>
      <c r="G3" s="20"/>
      <c r="H3" s="21">
        <f>6/12</f>
        <v>0.5</v>
      </c>
      <c r="I3" s="22"/>
      <c r="J3" s="22"/>
      <c r="K3" s="23"/>
      <c r="L3" s="22"/>
      <c r="M3" s="22"/>
      <c r="N3" s="22"/>
      <c r="O3" s="22"/>
      <c r="P3" s="22"/>
      <c r="Q3" s="22"/>
      <c r="R3" s="24"/>
      <c r="S3" s="25"/>
      <c r="T3" s="20"/>
      <c r="U3" s="20"/>
      <c r="V3" s="26"/>
    </row>
    <row r="4" spans="1:26" ht="24" thickBot="1" x14ac:dyDescent="0.3">
      <c r="A4" s="28" t="s">
        <v>23</v>
      </c>
      <c r="B4" s="29">
        <v>23296</v>
      </c>
      <c r="C4" s="29">
        <v>27136</v>
      </c>
      <c r="D4" s="29">
        <v>27136</v>
      </c>
      <c r="E4" s="30" t="s">
        <v>24</v>
      </c>
      <c r="F4" s="31">
        <f>D4-G4</f>
        <v>12305.5</v>
      </c>
      <c r="G4" s="31">
        <f>D4-SUM(I4:U4)</f>
        <v>14830.5</v>
      </c>
      <c r="H4" s="32">
        <f>F4/D4</f>
        <v>0.45347508844339623</v>
      </c>
      <c r="I4" s="33">
        <v>1925</v>
      </c>
      <c r="J4" s="34">
        <v>2912</v>
      </c>
      <c r="K4" s="35">
        <v>1952</v>
      </c>
      <c r="L4" s="34">
        <v>1672</v>
      </c>
      <c r="M4" s="34">
        <v>1984</v>
      </c>
      <c r="N4" s="34">
        <v>1860.5</v>
      </c>
      <c r="O4" s="34"/>
      <c r="P4" s="34"/>
      <c r="Q4" s="34"/>
      <c r="R4" s="36"/>
      <c r="S4" s="37"/>
      <c r="T4" s="34"/>
      <c r="U4" s="34"/>
      <c r="V4" s="18"/>
    </row>
    <row r="5" spans="1:26" s="50" customFormat="1" ht="24" thickBot="1" x14ac:dyDescent="0.3">
      <c r="A5" s="38" t="s">
        <v>25</v>
      </c>
      <c r="B5" s="39">
        <v>21060</v>
      </c>
      <c r="C5" s="39">
        <v>25936</v>
      </c>
      <c r="D5" s="39">
        <v>25936</v>
      </c>
      <c r="E5" s="40" t="s">
        <v>24</v>
      </c>
      <c r="F5" s="41">
        <f>D5-G5</f>
        <v>11418.25</v>
      </c>
      <c r="G5" s="31">
        <f>D5-SUM(I5:U5)</f>
        <v>14517.75</v>
      </c>
      <c r="H5" s="42">
        <f>F5/D5</f>
        <v>0.4402471468229488</v>
      </c>
      <c r="I5" s="43">
        <v>1596.75</v>
      </c>
      <c r="J5" s="44">
        <v>3097.5</v>
      </c>
      <c r="K5" s="45">
        <v>1746</v>
      </c>
      <c r="L5" s="44">
        <v>1799.75</v>
      </c>
      <c r="M5" s="44">
        <v>1613.25</v>
      </c>
      <c r="N5" s="44">
        <v>1565</v>
      </c>
      <c r="O5" s="44"/>
      <c r="P5" s="44"/>
      <c r="Q5" s="44"/>
      <c r="R5" s="46"/>
      <c r="S5" s="47"/>
      <c r="T5" s="44"/>
      <c r="U5" s="44"/>
      <c r="V5" s="48"/>
      <c r="W5" s="49"/>
    </row>
    <row r="6" spans="1:26" s="50" customFormat="1" ht="24" thickBot="1" x14ac:dyDescent="0.3">
      <c r="A6" s="51" t="s">
        <v>26</v>
      </c>
      <c r="B6" s="52">
        <v>1380</v>
      </c>
      <c r="C6" s="52">
        <v>1200</v>
      </c>
      <c r="D6" s="52">
        <v>1200</v>
      </c>
      <c r="E6" s="53" t="s">
        <v>24</v>
      </c>
      <c r="F6" s="54">
        <f>D6-G6</f>
        <v>647.32000000000005</v>
      </c>
      <c r="G6" s="31">
        <f>D6-SUM(I6:U6)</f>
        <v>552.67999999999995</v>
      </c>
      <c r="H6" s="55">
        <f>F6/D6</f>
        <v>0.53943333333333332</v>
      </c>
      <c r="I6" s="56">
        <v>101.86</v>
      </c>
      <c r="J6" s="57">
        <v>160.07</v>
      </c>
      <c r="K6" s="58">
        <v>93.88</v>
      </c>
      <c r="L6" s="57">
        <v>93.25</v>
      </c>
      <c r="M6" s="57">
        <v>102.15</v>
      </c>
      <c r="N6" s="57">
        <v>96.11</v>
      </c>
      <c r="O6" s="57"/>
      <c r="P6" s="57"/>
      <c r="Q6" s="57"/>
      <c r="R6" s="59"/>
      <c r="S6" s="60"/>
      <c r="T6" s="57"/>
      <c r="U6" s="57"/>
      <c r="V6" s="48"/>
      <c r="W6" s="49"/>
      <c r="X6" s="61"/>
      <c r="Z6" s="61"/>
    </row>
    <row r="7" spans="1:26" s="50" customFormat="1" ht="24" thickBot="1" x14ac:dyDescent="0.3">
      <c r="A7" s="62" t="s">
        <v>27</v>
      </c>
      <c r="B7" s="63">
        <f>SUM(B4:B6)</f>
        <v>45736</v>
      </c>
      <c r="C7" s="63">
        <f>SUM(C4:C6)</f>
        <v>54272</v>
      </c>
      <c r="D7" s="63">
        <f>SUM(D4:D6)</f>
        <v>54272</v>
      </c>
      <c r="E7" s="64" t="s">
        <v>24</v>
      </c>
      <c r="F7" s="65">
        <f>D7-G7</f>
        <v>24371.070000000003</v>
      </c>
      <c r="G7" s="65">
        <f>D7-SUM(I7:U7)</f>
        <v>29900.929999999997</v>
      </c>
      <c r="H7" s="66">
        <f>F7/D7</f>
        <v>0.44905420843160382</v>
      </c>
      <c r="I7" s="67">
        <f t="shared" ref="I7:U7" si="0">SUM(I4:I6)</f>
        <v>3623.61</v>
      </c>
      <c r="J7" s="68">
        <f t="shared" si="0"/>
        <v>6169.57</v>
      </c>
      <c r="K7" s="69">
        <f t="shared" si="0"/>
        <v>3791.88</v>
      </c>
      <c r="L7" s="68">
        <f t="shared" si="0"/>
        <v>3565</v>
      </c>
      <c r="M7" s="68">
        <f t="shared" si="0"/>
        <v>3699.4</v>
      </c>
      <c r="N7" s="68">
        <f t="shared" si="0"/>
        <v>3521.61</v>
      </c>
      <c r="O7" s="68">
        <f t="shared" si="0"/>
        <v>0</v>
      </c>
      <c r="P7" s="68">
        <f t="shared" si="0"/>
        <v>0</v>
      </c>
      <c r="Q7" s="68">
        <f t="shared" si="0"/>
        <v>0</v>
      </c>
      <c r="R7" s="70">
        <f t="shared" si="0"/>
        <v>0</v>
      </c>
      <c r="S7" s="71">
        <f t="shared" si="0"/>
        <v>0</v>
      </c>
      <c r="T7" s="72">
        <f t="shared" si="0"/>
        <v>0</v>
      </c>
      <c r="U7" s="73">
        <f t="shared" si="0"/>
        <v>0</v>
      </c>
      <c r="V7" s="48"/>
      <c r="W7" s="49"/>
      <c r="X7" s="61"/>
    </row>
    <row r="8" spans="1:26" s="85" customFormat="1" ht="24" hidden="1" thickBot="1" x14ac:dyDescent="0.3">
      <c r="A8" s="74" t="s">
        <v>28</v>
      </c>
      <c r="B8" s="75"/>
      <c r="C8" s="75"/>
      <c r="D8" s="75"/>
      <c r="E8" s="76" t="s">
        <v>24</v>
      </c>
      <c r="F8" s="77">
        <f>D8-G8</f>
        <v>17048.060000000001</v>
      </c>
      <c r="G8" s="77">
        <f>D8-SUM(I8:U8)</f>
        <v>-17048.060000000001</v>
      </c>
      <c r="H8" s="78"/>
      <c r="I8" s="79"/>
      <c r="J8" s="80">
        <v>6169.57</v>
      </c>
      <c r="K8" s="81">
        <v>3791.88</v>
      </c>
      <c r="L8" s="80">
        <v>3565</v>
      </c>
      <c r="M8" s="80"/>
      <c r="N8" s="80">
        <v>3521.61</v>
      </c>
      <c r="O8" s="80"/>
      <c r="P8" s="80"/>
      <c r="Q8" s="80"/>
      <c r="R8" s="82"/>
      <c r="S8" s="83"/>
      <c r="T8" s="77"/>
      <c r="U8" s="77"/>
      <c r="V8" s="84"/>
      <c r="W8" s="84"/>
    </row>
    <row r="9" spans="1:26" s="95" customFormat="1" ht="24" hidden="1" thickBot="1" x14ac:dyDescent="0.3">
      <c r="A9" s="86" t="s">
        <v>29</v>
      </c>
      <c r="B9" s="87"/>
      <c r="C9" s="87"/>
      <c r="D9" s="87"/>
      <c r="E9" s="87"/>
      <c r="F9" s="87"/>
      <c r="G9" s="87"/>
      <c r="H9" s="88"/>
      <c r="I9" s="89">
        <f t="shared" ref="I9:U9" si="1">I7-I8</f>
        <v>3623.61</v>
      </c>
      <c r="J9" s="90">
        <f t="shared" si="1"/>
        <v>0</v>
      </c>
      <c r="K9" s="91">
        <f t="shared" si="1"/>
        <v>0</v>
      </c>
      <c r="L9" s="90">
        <f t="shared" si="1"/>
        <v>0</v>
      </c>
      <c r="M9" s="90">
        <f t="shared" si="1"/>
        <v>3699.4</v>
      </c>
      <c r="N9" s="90">
        <f t="shared" si="1"/>
        <v>0</v>
      </c>
      <c r="O9" s="90">
        <f t="shared" si="1"/>
        <v>0</v>
      </c>
      <c r="P9" s="90">
        <f t="shared" si="1"/>
        <v>0</v>
      </c>
      <c r="Q9" s="90">
        <f t="shared" si="1"/>
        <v>0</v>
      </c>
      <c r="R9" s="92">
        <f t="shared" si="1"/>
        <v>0</v>
      </c>
      <c r="S9" s="93">
        <f t="shared" si="1"/>
        <v>0</v>
      </c>
      <c r="T9" s="90">
        <f t="shared" si="1"/>
        <v>0</v>
      </c>
      <c r="U9" s="94">
        <f t="shared" si="1"/>
        <v>0</v>
      </c>
      <c r="V9" s="87"/>
      <c r="W9" s="87"/>
    </row>
    <row r="10" spans="1:26" s="95" customFormat="1" ht="24" hidden="1" thickBot="1" x14ac:dyDescent="0.3">
      <c r="A10" s="86" t="s">
        <v>30</v>
      </c>
      <c r="B10" s="87"/>
      <c r="C10" s="87"/>
      <c r="D10" s="87"/>
      <c r="E10" s="87"/>
      <c r="F10" s="87"/>
      <c r="G10" s="87"/>
      <c r="H10" s="88"/>
      <c r="I10" s="96"/>
      <c r="J10" s="97"/>
      <c r="K10" s="98"/>
      <c r="L10" s="97"/>
      <c r="M10" s="97"/>
      <c r="N10" s="97"/>
      <c r="O10" s="97"/>
      <c r="P10" s="97"/>
      <c r="Q10" s="97"/>
      <c r="R10" s="99"/>
      <c r="S10" s="100"/>
      <c r="T10" s="97"/>
      <c r="U10" s="101"/>
      <c r="V10" s="87"/>
      <c r="W10" s="87"/>
    </row>
    <row r="11" spans="1:26" s="50" customFormat="1" x14ac:dyDescent="0.25">
      <c r="A11" s="102" t="s">
        <v>31</v>
      </c>
      <c r="B11" s="102"/>
      <c r="C11" s="102"/>
      <c r="D11" s="102"/>
      <c r="E11" s="102"/>
      <c r="F11" s="102"/>
      <c r="G11" s="102"/>
      <c r="H11" s="103">
        <f>7/12</f>
        <v>0.58333333333333337</v>
      </c>
      <c r="I11" s="104"/>
      <c r="J11" s="104"/>
      <c r="K11" s="102"/>
      <c r="L11" s="104"/>
      <c r="M11" s="104"/>
      <c r="N11" s="104"/>
      <c r="O11" s="104"/>
      <c r="P11" s="104"/>
      <c r="Q11" s="104"/>
      <c r="R11" s="105"/>
      <c r="S11" s="106"/>
      <c r="T11" s="102"/>
      <c r="U11" s="102"/>
      <c r="V11" s="48"/>
      <c r="W11" s="49"/>
    </row>
    <row r="12" spans="1:26" s="50" customFormat="1" hidden="1" x14ac:dyDescent="0.25">
      <c r="A12" s="107" t="s">
        <v>32</v>
      </c>
      <c r="B12" s="30">
        <v>0</v>
      </c>
      <c r="C12" s="30">
        <v>0</v>
      </c>
      <c r="D12" s="30">
        <v>0</v>
      </c>
      <c r="E12" s="31" t="s">
        <v>31</v>
      </c>
      <c r="F12" s="31">
        <f>D12-G12</f>
        <v>50</v>
      </c>
      <c r="G12" s="31">
        <f>D12-SUM(I12:U12)</f>
        <v>-50</v>
      </c>
      <c r="H12" s="108" t="e">
        <f>F12/D12</f>
        <v>#DIV/0!</v>
      </c>
      <c r="I12" s="33"/>
      <c r="J12" s="34">
        <v>50</v>
      </c>
      <c r="K12" s="35"/>
      <c r="L12" s="34"/>
      <c r="M12" s="34"/>
      <c r="N12" s="34"/>
      <c r="O12" s="34"/>
      <c r="P12" s="34"/>
      <c r="Q12" s="34"/>
      <c r="R12" s="36"/>
      <c r="S12" s="37"/>
      <c r="T12" s="31"/>
      <c r="U12" s="109"/>
      <c r="V12" s="48"/>
      <c r="W12" s="49"/>
    </row>
    <row r="13" spans="1:26" s="50" customFormat="1" hidden="1" x14ac:dyDescent="0.25">
      <c r="A13" s="110" t="s">
        <v>33</v>
      </c>
      <c r="B13" s="111">
        <v>200</v>
      </c>
      <c r="C13" s="111">
        <v>200</v>
      </c>
      <c r="D13" s="111">
        <v>200</v>
      </c>
      <c r="E13" s="112" t="s">
        <v>31</v>
      </c>
      <c r="F13" s="112">
        <f>D13-G13</f>
        <v>0</v>
      </c>
      <c r="G13" s="112">
        <f>D13-SUM(I13:U13)</f>
        <v>200</v>
      </c>
      <c r="H13" s="113">
        <f>F13/D13</f>
        <v>0</v>
      </c>
      <c r="I13" s="43"/>
      <c r="J13" s="44"/>
      <c r="K13" s="45"/>
      <c r="L13" s="44"/>
      <c r="M13" s="44"/>
      <c r="N13" s="44"/>
      <c r="O13" s="44"/>
      <c r="P13" s="44"/>
      <c r="Q13" s="44"/>
      <c r="R13" s="46"/>
      <c r="S13" s="47"/>
      <c r="T13" s="112"/>
      <c r="U13" s="114"/>
      <c r="V13" s="48"/>
      <c r="W13" s="49"/>
    </row>
    <row r="14" spans="1:26" s="50" customFormat="1" ht="24" hidden="1" thickBot="1" x14ac:dyDescent="0.3">
      <c r="A14" s="115" t="s">
        <v>34</v>
      </c>
      <c r="B14" s="53">
        <v>40</v>
      </c>
      <c r="C14" s="53">
        <v>40</v>
      </c>
      <c r="D14" s="53">
        <v>40</v>
      </c>
      <c r="E14" s="116" t="s">
        <v>31</v>
      </c>
      <c r="F14" s="116">
        <f>D14-G14</f>
        <v>0</v>
      </c>
      <c r="G14" s="116">
        <f>D14-SUM(I14:U14)</f>
        <v>40</v>
      </c>
      <c r="H14" s="117">
        <f>F14/D14</f>
        <v>0</v>
      </c>
      <c r="I14" s="118"/>
      <c r="J14" s="119"/>
      <c r="K14" s="120"/>
      <c r="L14" s="119"/>
      <c r="M14" s="119"/>
      <c r="N14" s="119"/>
      <c r="O14" s="119"/>
      <c r="P14" s="119"/>
      <c r="Q14" s="119"/>
      <c r="R14" s="121"/>
      <c r="S14" s="122"/>
      <c r="T14" s="123"/>
      <c r="U14" s="124"/>
      <c r="V14" s="48"/>
      <c r="W14" s="49"/>
    </row>
    <row r="15" spans="1:26" s="50" customFormat="1" ht="24" hidden="1" thickBot="1" x14ac:dyDescent="0.3">
      <c r="A15" s="62" t="s">
        <v>27</v>
      </c>
      <c r="B15" s="125">
        <f>SUM(B12:B14)</f>
        <v>240</v>
      </c>
      <c r="C15" s="125">
        <f>SUM(C12:C14)</f>
        <v>240</v>
      </c>
      <c r="D15" s="125">
        <f>SUM(D12:D14)</f>
        <v>240</v>
      </c>
      <c r="E15" s="126" t="s">
        <v>31</v>
      </c>
      <c r="F15" s="72">
        <f>D15-G15</f>
        <v>50</v>
      </c>
      <c r="G15" s="72">
        <f>D15-SUM(I15:U15)</f>
        <v>190</v>
      </c>
      <c r="H15" s="127">
        <f>F15/D15</f>
        <v>0.20833333333333334</v>
      </c>
      <c r="I15" s="128">
        <f t="shared" ref="I15:U15" si="2">SUM(I12:I14)</f>
        <v>0</v>
      </c>
      <c r="J15" s="129">
        <f t="shared" si="2"/>
        <v>50</v>
      </c>
      <c r="K15" s="130">
        <f t="shared" si="2"/>
        <v>0</v>
      </c>
      <c r="L15" s="129">
        <f t="shared" si="2"/>
        <v>0</v>
      </c>
      <c r="M15" s="129">
        <f t="shared" si="2"/>
        <v>0</v>
      </c>
      <c r="N15" s="129">
        <f t="shared" si="2"/>
        <v>0</v>
      </c>
      <c r="O15" s="129">
        <f t="shared" si="2"/>
        <v>0</v>
      </c>
      <c r="P15" s="129">
        <f t="shared" si="2"/>
        <v>0</v>
      </c>
      <c r="Q15" s="129">
        <f t="shared" si="2"/>
        <v>0</v>
      </c>
      <c r="R15" s="131">
        <f t="shared" si="2"/>
        <v>0</v>
      </c>
      <c r="S15" s="132">
        <f t="shared" si="2"/>
        <v>0</v>
      </c>
      <c r="T15" s="133">
        <f t="shared" si="2"/>
        <v>0</v>
      </c>
      <c r="U15" s="133">
        <f t="shared" si="2"/>
        <v>0</v>
      </c>
      <c r="V15" s="48"/>
      <c r="W15" s="49"/>
      <c r="X15" s="61"/>
    </row>
    <row r="16" spans="1:26" s="137" customFormat="1" ht="24" hidden="1" thickBot="1" x14ac:dyDescent="0.3">
      <c r="A16" s="74" t="s">
        <v>28</v>
      </c>
      <c r="B16" s="76"/>
      <c r="C16" s="76"/>
      <c r="D16" s="76"/>
      <c r="E16" s="77"/>
      <c r="F16" s="77"/>
      <c r="G16" s="77"/>
      <c r="H16" s="134"/>
      <c r="I16" s="79"/>
      <c r="J16" s="80">
        <v>50</v>
      </c>
      <c r="K16" s="81"/>
      <c r="L16" s="80"/>
      <c r="M16" s="80"/>
      <c r="N16" s="80"/>
      <c r="O16" s="80"/>
      <c r="P16" s="80"/>
      <c r="Q16" s="80"/>
      <c r="R16" s="82"/>
      <c r="S16" s="83"/>
      <c r="T16" s="77"/>
      <c r="U16" s="135"/>
      <c r="V16" s="136"/>
      <c r="W16" s="136"/>
    </row>
    <row r="17" spans="1:23" s="95" customFormat="1" ht="24" hidden="1" thickBot="1" x14ac:dyDescent="0.3">
      <c r="A17" s="86" t="s">
        <v>29</v>
      </c>
      <c r="B17" s="87"/>
      <c r="C17" s="87"/>
      <c r="D17" s="87"/>
      <c r="E17" s="87"/>
      <c r="F17" s="87"/>
      <c r="G17" s="87"/>
      <c r="H17" s="88"/>
      <c r="I17" s="89">
        <f t="shared" ref="I17:U17" si="3">I15-I16</f>
        <v>0</v>
      </c>
      <c r="J17" s="90">
        <f t="shared" si="3"/>
        <v>0</v>
      </c>
      <c r="K17" s="91">
        <f t="shared" si="3"/>
        <v>0</v>
      </c>
      <c r="L17" s="90">
        <f t="shared" si="3"/>
        <v>0</v>
      </c>
      <c r="M17" s="90">
        <f t="shared" si="3"/>
        <v>0</v>
      </c>
      <c r="N17" s="90">
        <f t="shared" si="3"/>
        <v>0</v>
      </c>
      <c r="O17" s="90">
        <f t="shared" si="3"/>
        <v>0</v>
      </c>
      <c r="P17" s="90">
        <f t="shared" si="3"/>
        <v>0</v>
      </c>
      <c r="Q17" s="90">
        <f t="shared" si="3"/>
        <v>0</v>
      </c>
      <c r="R17" s="92">
        <f t="shared" si="3"/>
        <v>0</v>
      </c>
      <c r="S17" s="93">
        <f t="shared" si="3"/>
        <v>0</v>
      </c>
      <c r="T17" s="90">
        <f t="shared" si="3"/>
        <v>0</v>
      </c>
      <c r="U17" s="94">
        <f t="shared" si="3"/>
        <v>0</v>
      </c>
      <c r="V17" s="87"/>
      <c r="W17" s="87"/>
    </row>
    <row r="18" spans="1:23" s="95" customFormat="1" ht="24" hidden="1" thickBot="1" x14ac:dyDescent="0.3">
      <c r="A18" s="86" t="s">
        <v>30</v>
      </c>
      <c r="B18" s="87"/>
      <c r="C18" s="87"/>
      <c r="D18" s="87"/>
      <c r="E18" s="87"/>
      <c r="F18" s="87"/>
      <c r="G18" s="87"/>
      <c r="H18" s="88"/>
      <c r="I18" s="96"/>
      <c r="J18" s="97"/>
      <c r="K18" s="98"/>
      <c r="L18" s="97"/>
      <c r="M18" s="97"/>
      <c r="N18" s="97"/>
      <c r="O18" s="97"/>
      <c r="P18" s="97"/>
      <c r="Q18" s="97"/>
      <c r="R18" s="99"/>
      <c r="S18" s="100"/>
      <c r="T18" s="97"/>
      <c r="U18" s="101"/>
      <c r="V18" s="87"/>
      <c r="W18" s="87"/>
    </row>
    <row r="19" spans="1:23" s="50" customFormat="1" ht="16.5" thickBot="1" x14ac:dyDescent="0.3">
      <c r="A19" s="138" t="s">
        <v>35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48"/>
      <c r="W19" s="49"/>
    </row>
    <row r="20" spans="1:23" s="50" customFormat="1" x14ac:dyDescent="0.25">
      <c r="A20" s="139" t="s">
        <v>36</v>
      </c>
      <c r="B20" s="29">
        <v>2100</v>
      </c>
      <c r="C20" s="29">
        <v>2300</v>
      </c>
      <c r="D20" s="29">
        <v>2300</v>
      </c>
      <c r="E20" s="30" t="s">
        <v>35</v>
      </c>
      <c r="F20" s="31">
        <f t="shared" ref="F20:F25" si="4">D20-G20</f>
        <v>893.47</v>
      </c>
      <c r="G20" s="31">
        <f t="shared" ref="G20:G25" si="5">D20-SUM(I20:U20)</f>
        <v>1406.53</v>
      </c>
      <c r="H20" s="108">
        <f t="shared" ref="H20:H25" si="6">F20/D20</f>
        <v>0.38846521739130435</v>
      </c>
      <c r="I20" s="33">
        <f>80+18</f>
        <v>98</v>
      </c>
      <c r="J20" s="34">
        <f>60+18+10.57</f>
        <v>88.57</v>
      </c>
      <c r="K20" s="35">
        <f>73.45+18+80</f>
        <v>171.45</v>
      </c>
      <c r="L20" s="34">
        <f>60+18</f>
        <v>78</v>
      </c>
      <c r="M20" s="34">
        <v>18</v>
      </c>
      <c r="N20" s="34">
        <f>90+18+73.45</f>
        <v>181.45</v>
      </c>
      <c r="O20" s="34">
        <f>18+240</f>
        <v>258</v>
      </c>
      <c r="P20" s="34"/>
      <c r="Q20" s="34"/>
      <c r="R20" s="36"/>
      <c r="S20" s="37"/>
      <c r="T20" s="31"/>
      <c r="U20" s="109"/>
      <c r="V20" s="48"/>
      <c r="W20" s="49"/>
    </row>
    <row r="21" spans="1:23" s="50" customFormat="1" x14ac:dyDescent="0.25">
      <c r="A21" s="139" t="s">
        <v>37</v>
      </c>
      <c r="B21" s="140">
        <v>1500</v>
      </c>
      <c r="C21" s="140">
        <v>1500</v>
      </c>
      <c r="D21" s="140">
        <v>1500</v>
      </c>
      <c r="E21" s="111" t="s">
        <v>35</v>
      </c>
      <c r="F21" s="112">
        <f t="shared" si="4"/>
        <v>417</v>
      </c>
      <c r="G21" s="112">
        <f t="shared" si="5"/>
        <v>1083</v>
      </c>
      <c r="H21" s="113">
        <f t="shared" si="6"/>
        <v>0.27800000000000002</v>
      </c>
      <c r="I21" s="43"/>
      <c r="J21" s="44">
        <v>417</v>
      </c>
      <c r="K21" s="45"/>
      <c r="L21" s="44"/>
      <c r="M21" s="44"/>
      <c r="N21" s="44"/>
      <c r="O21" s="44"/>
      <c r="P21" s="44"/>
      <c r="Q21" s="44"/>
      <c r="R21" s="46"/>
      <c r="S21" s="47"/>
      <c r="T21" s="112"/>
      <c r="U21" s="114"/>
      <c r="V21" s="48"/>
      <c r="W21" s="49"/>
    </row>
    <row r="22" spans="1:23" s="50" customFormat="1" ht="24" thickBot="1" x14ac:dyDescent="0.3">
      <c r="A22" s="141" t="s">
        <v>38</v>
      </c>
      <c r="B22" s="142">
        <v>500</v>
      </c>
      <c r="C22" s="142">
        <v>500</v>
      </c>
      <c r="D22" s="142">
        <v>500</v>
      </c>
      <c r="E22" s="143" t="s">
        <v>35</v>
      </c>
      <c r="F22" s="123">
        <f t="shared" si="4"/>
        <v>0</v>
      </c>
      <c r="G22" s="123">
        <f t="shared" si="5"/>
        <v>500</v>
      </c>
      <c r="H22" s="144">
        <f t="shared" si="6"/>
        <v>0</v>
      </c>
      <c r="I22" s="118"/>
      <c r="J22" s="119"/>
      <c r="K22" s="120"/>
      <c r="L22" s="119"/>
      <c r="M22" s="119"/>
      <c r="N22" s="119"/>
      <c r="O22" s="119"/>
      <c r="P22" s="119"/>
      <c r="Q22" s="119"/>
      <c r="R22" s="121"/>
      <c r="S22" s="122"/>
      <c r="T22" s="123"/>
      <c r="U22" s="124"/>
      <c r="V22" s="48"/>
      <c r="W22" s="49"/>
    </row>
    <row r="23" spans="1:23" x14ac:dyDescent="0.25">
      <c r="A23" s="28" t="s">
        <v>39</v>
      </c>
      <c r="B23" s="30">
        <v>0</v>
      </c>
      <c r="C23" s="30">
        <v>0</v>
      </c>
      <c r="D23" s="30">
        <v>0</v>
      </c>
      <c r="E23" s="30" t="s">
        <v>35</v>
      </c>
      <c r="F23" s="31">
        <f t="shared" si="4"/>
        <v>0</v>
      </c>
      <c r="G23" s="31">
        <f t="shared" si="5"/>
        <v>0</v>
      </c>
      <c r="H23" s="32" t="e">
        <f t="shared" si="6"/>
        <v>#DIV/0!</v>
      </c>
      <c r="I23" s="33"/>
      <c r="J23" s="34"/>
      <c r="K23" s="35"/>
      <c r="L23" s="34"/>
      <c r="M23" s="34"/>
      <c r="N23" s="34"/>
      <c r="O23" s="34"/>
      <c r="P23" s="34"/>
      <c r="Q23" s="34"/>
      <c r="R23" s="36"/>
      <c r="S23" s="37"/>
      <c r="T23" s="31"/>
      <c r="U23" s="145"/>
      <c r="V23" s="146"/>
      <c r="W23" s="147"/>
    </row>
    <row r="24" spans="1:23" s="50" customFormat="1" ht="24" thickBot="1" x14ac:dyDescent="0.3">
      <c r="A24" s="115" t="s">
        <v>40</v>
      </c>
      <c r="B24" s="53">
        <v>0</v>
      </c>
      <c r="C24" s="53">
        <v>0</v>
      </c>
      <c r="D24" s="53">
        <v>0</v>
      </c>
      <c r="E24" s="53" t="s">
        <v>35</v>
      </c>
      <c r="F24" s="116">
        <f t="shared" si="4"/>
        <v>0</v>
      </c>
      <c r="G24" s="116">
        <f t="shared" si="5"/>
        <v>0</v>
      </c>
      <c r="H24" s="55" t="e">
        <f t="shared" si="6"/>
        <v>#DIV/0!</v>
      </c>
      <c r="I24" s="56"/>
      <c r="J24" s="57"/>
      <c r="K24" s="58"/>
      <c r="L24" s="57"/>
      <c r="M24" s="57"/>
      <c r="N24" s="57"/>
      <c r="O24" s="57"/>
      <c r="P24" s="57"/>
      <c r="Q24" s="57"/>
      <c r="R24" s="59"/>
      <c r="S24" s="60"/>
      <c r="T24" s="116"/>
      <c r="U24" s="148"/>
      <c r="V24" s="48"/>
      <c r="W24" s="49"/>
    </row>
    <row r="25" spans="1:23" s="50" customFormat="1" ht="24" thickBot="1" x14ac:dyDescent="0.3">
      <c r="A25" s="62" t="s">
        <v>27</v>
      </c>
      <c r="B25" s="125">
        <f>SUM(B20:B24)</f>
        <v>4100</v>
      </c>
      <c r="C25" s="125">
        <f>SUM(C20:C24)</f>
        <v>4300</v>
      </c>
      <c r="D25" s="125">
        <f>SUM(D20:D24)</f>
        <v>4300</v>
      </c>
      <c r="E25" s="126"/>
      <c r="F25" s="72">
        <f t="shared" si="4"/>
        <v>1310.4700000000003</v>
      </c>
      <c r="G25" s="72">
        <f t="shared" si="5"/>
        <v>2989.5299999999997</v>
      </c>
      <c r="H25" s="127">
        <f t="shared" si="6"/>
        <v>0.30476046511627913</v>
      </c>
      <c r="I25" s="128">
        <f t="shared" ref="I25:U25" si="7">SUM(I20:I24)</f>
        <v>98</v>
      </c>
      <c r="J25" s="129">
        <f t="shared" si="7"/>
        <v>505.57</v>
      </c>
      <c r="K25" s="130">
        <f t="shared" si="7"/>
        <v>171.45</v>
      </c>
      <c r="L25" s="129">
        <f t="shared" si="7"/>
        <v>78</v>
      </c>
      <c r="M25" s="129">
        <f t="shared" si="7"/>
        <v>18</v>
      </c>
      <c r="N25" s="129">
        <f t="shared" si="7"/>
        <v>181.45</v>
      </c>
      <c r="O25" s="129">
        <f t="shared" si="7"/>
        <v>258</v>
      </c>
      <c r="P25" s="129">
        <f t="shared" si="7"/>
        <v>0</v>
      </c>
      <c r="Q25" s="129">
        <f t="shared" si="7"/>
        <v>0</v>
      </c>
      <c r="R25" s="131">
        <f t="shared" si="7"/>
        <v>0</v>
      </c>
      <c r="S25" s="132">
        <f t="shared" si="7"/>
        <v>0</v>
      </c>
      <c r="T25" s="129">
        <f t="shared" si="7"/>
        <v>0</v>
      </c>
      <c r="U25" s="149">
        <f t="shared" si="7"/>
        <v>0</v>
      </c>
      <c r="V25" s="48"/>
      <c r="W25" s="49"/>
    </row>
    <row r="26" spans="1:23" s="162" customFormat="1" ht="24" hidden="1" thickBot="1" x14ac:dyDescent="0.3">
      <c r="A26" s="137" t="s">
        <v>28</v>
      </c>
      <c r="B26" s="150"/>
      <c r="C26" s="150"/>
      <c r="D26" s="150"/>
      <c r="E26" s="151"/>
      <c r="F26" s="152"/>
      <c r="G26" s="152"/>
      <c r="H26" s="153"/>
      <c r="I26" s="154"/>
      <c r="J26" s="155">
        <v>505.57</v>
      </c>
      <c r="K26" s="156">
        <v>116</v>
      </c>
      <c r="L26" s="155"/>
      <c r="M26" s="155"/>
      <c r="N26" s="157"/>
      <c r="O26" s="155"/>
      <c r="P26" s="155"/>
      <c r="Q26" s="155"/>
      <c r="R26" s="158"/>
      <c r="S26" s="159"/>
      <c r="T26" s="155"/>
      <c r="U26" s="160"/>
      <c r="V26" s="161"/>
      <c r="W26" s="161"/>
    </row>
    <row r="27" spans="1:23" s="95" customFormat="1" ht="24" hidden="1" thickBot="1" x14ac:dyDescent="0.3">
      <c r="A27" s="86" t="s">
        <v>29</v>
      </c>
      <c r="B27" s="87"/>
      <c r="C27" s="87"/>
      <c r="D27" s="87"/>
      <c r="E27" s="87"/>
      <c r="F27" s="87"/>
      <c r="G27" s="87"/>
      <c r="H27" s="88"/>
      <c r="I27" s="89">
        <f t="shared" ref="I27:U27" si="8">I25-I26</f>
        <v>98</v>
      </c>
      <c r="J27" s="90">
        <f t="shared" si="8"/>
        <v>0</v>
      </c>
      <c r="K27" s="91">
        <f t="shared" si="8"/>
        <v>55.449999999999989</v>
      </c>
      <c r="L27" s="90">
        <f t="shared" si="8"/>
        <v>78</v>
      </c>
      <c r="M27" s="90">
        <f t="shared" si="8"/>
        <v>18</v>
      </c>
      <c r="N27" s="163">
        <f t="shared" si="8"/>
        <v>181.45</v>
      </c>
      <c r="O27" s="90">
        <f t="shared" si="8"/>
        <v>258</v>
      </c>
      <c r="P27" s="90">
        <f t="shared" si="8"/>
        <v>0</v>
      </c>
      <c r="Q27" s="90">
        <f t="shared" si="8"/>
        <v>0</v>
      </c>
      <c r="R27" s="92">
        <f t="shared" si="8"/>
        <v>0</v>
      </c>
      <c r="S27" s="93">
        <f t="shared" si="8"/>
        <v>0</v>
      </c>
      <c r="T27" s="90">
        <f t="shared" si="8"/>
        <v>0</v>
      </c>
      <c r="U27" s="94">
        <f t="shared" si="8"/>
        <v>0</v>
      </c>
      <c r="V27" s="87"/>
      <c r="W27" s="87"/>
    </row>
    <row r="28" spans="1:23" s="95" customFormat="1" ht="24" hidden="1" thickBot="1" x14ac:dyDescent="0.3">
      <c r="A28" s="86" t="s">
        <v>30</v>
      </c>
      <c r="B28" s="87"/>
      <c r="C28" s="87"/>
      <c r="D28" s="87"/>
      <c r="E28" s="87"/>
      <c r="F28" s="87"/>
      <c r="G28" s="87"/>
      <c r="H28" s="88"/>
      <c r="I28" s="96"/>
      <c r="J28" s="97"/>
      <c r="K28" s="98"/>
      <c r="L28" s="97"/>
      <c r="M28" s="97"/>
      <c r="N28" s="97"/>
      <c r="O28" s="97"/>
      <c r="P28" s="97"/>
      <c r="Q28" s="97"/>
      <c r="R28" s="99"/>
      <c r="S28" s="100"/>
      <c r="T28" s="97"/>
      <c r="U28" s="101"/>
      <c r="V28" s="87"/>
      <c r="W28" s="87"/>
    </row>
    <row r="29" spans="1:23" x14ac:dyDescent="0.25">
      <c r="A29" s="107" t="s">
        <v>41</v>
      </c>
      <c r="B29" s="29">
        <v>2100</v>
      </c>
      <c r="C29" s="29">
        <v>2100</v>
      </c>
      <c r="D29" s="29">
        <v>2100</v>
      </c>
      <c r="E29" s="30" t="s">
        <v>42</v>
      </c>
      <c r="F29" s="31">
        <f>D29-G29</f>
        <v>1659</v>
      </c>
      <c r="G29" s="31">
        <f>D29-SUM(I29:U29)</f>
        <v>441</v>
      </c>
      <c r="H29" s="164">
        <f>F29/D29</f>
        <v>0.79</v>
      </c>
      <c r="I29" s="33">
        <v>237</v>
      </c>
      <c r="J29" s="34">
        <v>237</v>
      </c>
      <c r="K29" s="35">
        <v>237</v>
      </c>
      <c r="L29" s="34">
        <v>237</v>
      </c>
      <c r="M29" s="34">
        <v>237</v>
      </c>
      <c r="N29" s="34">
        <v>237</v>
      </c>
      <c r="O29" s="165">
        <v>237</v>
      </c>
      <c r="P29" s="34"/>
      <c r="Q29" s="34"/>
      <c r="R29" s="36"/>
      <c r="S29" s="37"/>
      <c r="T29" s="31"/>
      <c r="U29" s="109"/>
      <c r="V29" s="146"/>
      <c r="W29" s="147"/>
    </row>
    <row r="30" spans="1:23" s="50" customFormat="1" ht="24" thickBot="1" x14ac:dyDescent="0.3">
      <c r="A30" s="115" t="s">
        <v>43</v>
      </c>
      <c r="B30" s="142">
        <f>1550</f>
        <v>1550</v>
      </c>
      <c r="C30" s="142">
        <v>2956</v>
      </c>
      <c r="D30" s="142">
        <v>2956</v>
      </c>
      <c r="E30" s="143" t="s">
        <v>42</v>
      </c>
      <c r="F30" s="123">
        <f>D30-G30</f>
        <v>1246.33</v>
      </c>
      <c r="G30" s="123">
        <f>D30-SUM(I30:U30)</f>
        <v>1709.67</v>
      </c>
      <c r="H30" s="166">
        <f>F30/D30</f>
        <v>0.42162719891745598</v>
      </c>
      <c r="I30" s="118">
        <v>172.73</v>
      </c>
      <c r="J30" s="119">
        <v>172.51</v>
      </c>
      <c r="K30" s="120">
        <v>172.51</v>
      </c>
      <c r="L30" s="119">
        <v>171.77</v>
      </c>
      <c r="M30" s="119">
        <v>171.77</v>
      </c>
      <c r="N30" s="119">
        <v>171.77</v>
      </c>
      <c r="O30" s="119">
        <v>213.27</v>
      </c>
      <c r="P30" s="119"/>
      <c r="Q30" s="119"/>
      <c r="R30" s="121"/>
      <c r="S30" s="122"/>
      <c r="T30" s="123"/>
      <c r="U30" s="124"/>
      <c r="V30" s="48"/>
      <c r="W30" s="49"/>
    </row>
    <row r="31" spans="1:23" s="50" customFormat="1" ht="24" thickBot="1" x14ac:dyDescent="0.3">
      <c r="A31" s="62" t="s">
        <v>27</v>
      </c>
      <c r="B31" s="125">
        <f>SUM(B29:B30)</f>
        <v>3650</v>
      </c>
      <c r="C31" s="125">
        <f>SUM(C29:C30)</f>
        <v>5056</v>
      </c>
      <c r="D31" s="125">
        <f>SUM(D29:D30)</f>
        <v>5056</v>
      </c>
      <c r="E31" s="126"/>
      <c r="F31" s="72">
        <f>D31-G31</f>
        <v>2905.33</v>
      </c>
      <c r="G31" s="72">
        <f>D31-SUM(I31:U31)</f>
        <v>2150.67</v>
      </c>
      <c r="H31" s="167">
        <f>F31/D31</f>
        <v>0.57463014240506327</v>
      </c>
      <c r="I31" s="168">
        <f t="shared" ref="I31:U31" si="9">SUM(I29:I30)</f>
        <v>409.73</v>
      </c>
      <c r="J31" s="168">
        <f t="shared" si="9"/>
        <v>409.51</v>
      </c>
      <c r="K31" s="169">
        <f t="shared" si="9"/>
        <v>409.51</v>
      </c>
      <c r="L31" s="168">
        <f t="shared" si="9"/>
        <v>408.77</v>
      </c>
      <c r="M31" s="168">
        <f t="shared" si="9"/>
        <v>408.77</v>
      </c>
      <c r="N31" s="168">
        <f t="shared" si="9"/>
        <v>408.77</v>
      </c>
      <c r="O31" s="168">
        <f t="shared" si="9"/>
        <v>450.27</v>
      </c>
      <c r="P31" s="168">
        <f t="shared" si="9"/>
        <v>0</v>
      </c>
      <c r="Q31" s="168">
        <f t="shared" si="9"/>
        <v>0</v>
      </c>
      <c r="R31" s="170">
        <f t="shared" si="9"/>
        <v>0</v>
      </c>
      <c r="S31" s="171">
        <f t="shared" si="9"/>
        <v>0</v>
      </c>
      <c r="T31" s="168">
        <f t="shared" si="9"/>
        <v>0</v>
      </c>
      <c r="U31" s="168">
        <f t="shared" si="9"/>
        <v>0</v>
      </c>
      <c r="V31" s="48"/>
      <c r="W31" s="49"/>
    </row>
    <row r="32" spans="1:23" s="162" customFormat="1" ht="24" hidden="1" thickBot="1" x14ac:dyDescent="0.3">
      <c r="A32" s="74" t="s">
        <v>28</v>
      </c>
      <c r="B32" s="172"/>
      <c r="C32" s="172"/>
      <c r="D32" s="172"/>
      <c r="E32" s="173"/>
      <c r="F32" s="174"/>
      <c r="G32" s="174"/>
      <c r="H32" s="175"/>
      <c r="I32" s="176"/>
      <c r="J32" s="155">
        <v>421.98</v>
      </c>
      <c r="K32" s="156"/>
      <c r="L32" s="155"/>
      <c r="M32" s="155"/>
      <c r="N32" s="155">
        <v>408.77</v>
      </c>
      <c r="O32" s="155"/>
      <c r="P32" s="155"/>
      <c r="Q32" s="155"/>
      <c r="R32" s="158"/>
      <c r="S32" s="159"/>
      <c r="T32" s="152"/>
      <c r="U32" s="177"/>
      <c r="V32" s="161"/>
      <c r="W32" s="161"/>
    </row>
    <row r="33" spans="1:23" s="95" customFormat="1" ht="24" hidden="1" thickBot="1" x14ac:dyDescent="0.3">
      <c r="A33" s="86" t="s">
        <v>29</v>
      </c>
      <c r="B33" s="87"/>
      <c r="C33" s="87"/>
      <c r="D33" s="87"/>
      <c r="E33" s="87"/>
      <c r="F33" s="87"/>
      <c r="G33" s="87"/>
      <c r="H33" s="88"/>
      <c r="I33" s="89">
        <f t="shared" ref="I33:U33" si="10">I31-I32</f>
        <v>409.73</v>
      </c>
      <c r="J33" s="163">
        <f t="shared" si="10"/>
        <v>-12.470000000000027</v>
      </c>
      <c r="K33" s="91">
        <f t="shared" si="10"/>
        <v>409.51</v>
      </c>
      <c r="L33" s="90">
        <f t="shared" si="10"/>
        <v>408.77</v>
      </c>
      <c r="M33" s="90">
        <f t="shared" si="10"/>
        <v>408.77</v>
      </c>
      <c r="N33" s="90">
        <f t="shared" si="10"/>
        <v>0</v>
      </c>
      <c r="O33" s="90">
        <f t="shared" si="10"/>
        <v>450.27</v>
      </c>
      <c r="P33" s="90">
        <f t="shared" si="10"/>
        <v>0</v>
      </c>
      <c r="Q33" s="90">
        <f t="shared" si="10"/>
        <v>0</v>
      </c>
      <c r="R33" s="92">
        <f t="shared" si="10"/>
        <v>0</v>
      </c>
      <c r="S33" s="93">
        <f t="shared" si="10"/>
        <v>0</v>
      </c>
      <c r="T33" s="90">
        <f t="shared" si="10"/>
        <v>0</v>
      </c>
      <c r="U33" s="94">
        <f t="shared" si="10"/>
        <v>0</v>
      </c>
      <c r="V33" s="87"/>
      <c r="W33" s="87"/>
    </row>
    <row r="34" spans="1:23" s="95" customFormat="1" ht="24" hidden="1" thickBot="1" x14ac:dyDescent="0.3">
      <c r="A34" s="86" t="s">
        <v>30</v>
      </c>
      <c r="B34" s="87"/>
      <c r="C34" s="87"/>
      <c r="D34" s="87"/>
      <c r="E34" s="87"/>
      <c r="F34" s="87"/>
      <c r="G34" s="87"/>
      <c r="H34" s="88"/>
      <c r="I34" s="96"/>
      <c r="J34" s="97"/>
      <c r="K34" s="98"/>
      <c r="L34" s="97"/>
      <c r="M34" s="97"/>
      <c r="N34" s="97"/>
      <c r="O34" s="97"/>
      <c r="P34" s="97"/>
      <c r="Q34" s="97"/>
      <c r="R34" s="99"/>
      <c r="S34" s="100"/>
      <c r="T34" s="97"/>
      <c r="U34" s="101"/>
      <c r="V34" s="87"/>
      <c r="W34" s="87"/>
    </row>
    <row r="35" spans="1:23" s="95" customFormat="1" ht="24" thickBot="1" x14ac:dyDescent="0.3">
      <c r="A35" s="178" t="s">
        <v>44</v>
      </c>
      <c r="B35" s="87"/>
      <c r="C35" s="87"/>
      <c r="D35" s="87"/>
      <c r="E35" s="87"/>
      <c r="F35" s="87"/>
      <c r="G35" s="87"/>
      <c r="H35" s="88"/>
      <c r="I35" s="179"/>
      <c r="J35" s="180"/>
      <c r="K35" s="181"/>
      <c r="L35" s="180"/>
      <c r="M35" s="180"/>
      <c r="N35" s="180"/>
      <c r="O35" s="180"/>
      <c r="P35" s="180"/>
      <c r="Q35" s="180"/>
      <c r="R35" s="182"/>
      <c r="S35" s="183"/>
      <c r="T35" s="180"/>
      <c r="U35" s="184"/>
      <c r="V35" s="87"/>
      <c r="W35" s="87"/>
    </row>
    <row r="36" spans="1:23" x14ac:dyDescent="0.25">
      <c r="A36" s="107" t="s">
        <v>45</v>
      </c>
      <c r="B36" s="30">
        <v>8000</v>
      </c>
      <c r="C36" s="30">
        <v>8000</v>
      </c>
      <c r="D36" s="30">
        <v>8000</v>
      </c>
      <c r="E36" s="30" t="s">
        <v>46</v>
      </c>
      <c r="F36" s="31">
        <f>D36-G36</f>
        <v>3882.9300000000003</v>
      </c>
      <c r="G36" s="31">
        <f>D36-SUM(I36:U36)</f>
        <v>4117.07</v>
      </c>
      <c r="H36" s="108">
        <f>F36/D36</f>
        <v>0.48536625000000005</v>
      </c>
      <c r="I36" s="185">
        <f>113.95+139.62</f>
        <v>253.57</v>
      </c>
      <c r="J36" s="34">
        <f>129.92+139.62+243.62</f>
        <v>513.16</v>
      </c>
      <c r="K36" s="35">
        <f>211.96+139.62+13.59</f>
        <v>365.17</v>
      </c>
      <c r="L36" s="34">
        <f>247.29+438.07+348.25</f>
        <v>1033.6100000000001</v>
      </c>
      <c r="M36" s="34">
        <f>156.09+143.22+339.25</f>
        <v>638.55999999999995</v>
      </c>
      <c r="N36" s="34">
        <f>124.6+143.22+553.9</f>
        <v>821.72</v>
      </c>
      <c r="O36" s="34">
        <f>48.41+143.22+65.51</f>
        <v>257.14</v>
      </c>
      <c r="P36" s="34"/>
      <c r="Q36" s="34"/>
      <c r="R36" s="36"/>
      <c r="S36" s="37"/>
      <c r="T36" s="31"/>
      <c r="U36" s="109"/>
      <c r="V36" s="146"/>
      <c r="W36" s="147"/>
    </row>
    <row r="37" spans="1:23" s="50" customFormat="1" ht="38.25" x14ac:dyDescent="0.25">
      <c r="A37" s="186" t="s">
        <v>47</v>
      </c>
      <c r="B37" s="40">
        <v>960</v>
      </c>
      <c r="C37" s="40">
        <v>960</v>
      </c>
      <c r="D37" s="40">
        <v>960</v>
      </c>
      <c r="E37" s="40" t="s">
        <v>46</v>
      </c>
      <c r="F37" s="41">
        <f>D37-G37</f>
        <v>236.98000000000002</v>
      </c>
      <c r="G37" s="112">
        <f>D37-SUM(I37:U37)</f>
        <v>723.02</v>
      </c>
      <c r="H37" s="113">
        <f>F37/D37</f>
        <v>0.24685416666666668</v>
      </c>
      <c r="I37" s="187"/>
      <c r="J37" s="44">
        <f>15+32.15</f>
        <v>47.15</v>
      </c>
      <c r="K37" s="45">
        <v>10</v>
      </c>
      <c r="L37" s="44">
        <v>38.520000000000003</v>
      </c>
      <c r="M37" s="44">
        <v>25</v>
      </c>
      <c r="N37" s="44">
        <f>19.96+24+15</f>
        <v>58.96</v>
      </c>
      <c r="O37" s="44">
        <f>19.95+21.37+16.03</f>
        <v>57.35</v>
      </c>
      <c r="P37" s="44"/>
      <c r="Q37" s="44"/>
      <c r="R37" s="46"/>
      <c r="S37" s="47"/>
      <c r="T37" s="112"/>
      <c r="U37" s="114"/>
      <c r="V37" s="48"/>
      <c r="W37" s="188"/>
    </row>
    <row r="38" spans="1:23" s="50" customFormat="1" x14ac:dyDescent="0.25">
      <c r="A38" s="110" t="s">
        <v>48</v>
      </c>
      <c r="B38" s="111">
        <v>2000</v>
      </c>
      <c r="C38" s="111">
        <v>2000</v>
      </c>
      <c r="D38" s="111">
        <v>2000</v>
      </c>
      <c r="E38" s="111" t="s">
        <v>46</v>
      </c>
      <c r="F38" s="112">
        <f>D38-G38</f>
        <v>626.88000000000011</v>
      </c>
      <c r="G38" s="112">
        <f>D38-SUM(I38:U38)</f>
        <v>1373.12</v>
      </c>
      <c r="H38" s="113">
        <f>F38/D38</f>
        <v>0.31344000000000005</v>
      </c>
      <c r="I38" s="187">
        <v>160.72</v>
      </c>
      <c r="J38" s="44">
        <v>70.88</v>
      </c>
      <c r="K38" s="45"/>
      <c r="L38" s="44">
        <v>226.6</v>
      </c>
      <c r="M38" s="44">
        <v>168.68</v>
      </c>
      <c r="N38" s="44"/>
      <c r="O38" s="44"/>
      <c r="P38" s="44"/>
      <c r="Q38" s="44"/>
      <c r="R38" s="46"/>
      <c r="S38" s="47"/>
      <c r="T38" s="112"/>
      <c r="U38" s="114"/>
      <c r="V38" s="48"/>
      <c r="W38" s="189"/>
    </row>
    <row r="39" spans="1:23" s="50" customFormat="1" x14ac:dyDescent="0.25">
      <c r="A39" s="190" t="s">
        <v>27</v>
      </c>
      <c r="B39" s="191">
        <f>SUM(B36:B38)</f>
        <v>10960</v>
      </c>
      <c r="C39" s="191">
        <f>SUM(C36:C38)</f>
        <v>10960</v>
      </c>
      <c r="D39" s="191">
        <f>SUM(D36:D38)</f>
        <v>10960</v>
      </c>
      <c r="E39" s="191" t="s">
        <v>46</v>
      </c>
      <c r="F39" s="192">
        <f>D39-G39</f>
        <v>4746.79</v>
      </c>
      <c r="G39" s="192">
        <f>D39-SUM(I39:U39)</f>
        <v>6213.21</v>
      </c>
      <c r="H39" s="193">
        <f>F39/D39</f>
        <v>0.43310127737226278</v>
      </c>
      <c r="I39" s="194">
        <f t="shared" ref="I39:U39" si="11">SUM(I36:I38)</f>
        <v>414.28999999999996</v>
      </c>
      <c r="J39" s="194">
        <f t="shared" si="11"/>
        <v>631.18999999999994</v>
      </c>
      <c r="K39" s="195">
        <f t="shared" si="11"/>
        <v>375.17</v>
      </c>
      <c r="L39" s="194">
        <f t="shared" si="11"/>
        <v>1298.73</v>
      </c>
      <c r="M39" s="194">
        <f t="shared" si="11"/>
        <v>832.24</v>
      </c>
      <c r="N39" s="194">
        <f t="shared" si="11"/>
        <v>880.68000000000006</v>
      </c>
      <c r="O39" s="194">
        <f t="shared" si="11"/>
        <v>314.49</v>
      </c>
      <c r="P39" s="194">
        <f t="shared" si="11"/>
        <v>0</v>
      </c>
      <c r="Q39" s="194">
        <f t="shared" si="11"/>
        <v>0</v>
      </c>
      <c r="R39" s="196">
        <f t="shared" si="11"/>
        <v>0</v>
      </c>
      <c r="S39" s="197">
        <f t="shared" si="11"/>
        <v>0</v>
      </c>
      <c r="T39" s="194">
        <f t="shared" si="11"/>
        <v>0</v>
      </c>
      <c r="U39" s="194">
        <f t="shared" si="11"/>
        <v>0</v>
      </c>
      <c r="V39" s="48"/>
      <c r="W39" s="189"/>
    </row>
    <row r="40" spans="1:23" s="137" customFormat="1" hidden="1" x14ac:dyDescent="0.25">
      <c r="A40" s="198" t="s">
        <v>28</v>
      </c>
      <c r="B40" s="199"/>
      <c r="C40" s="199"/>
      <c r="D40" s="199"/>
      <c r="E40" s="199"/>
      <c r="F40" s="200"/>
      <c r="G40" s="200"/>
      <c r="H40" s="201"/>
      <c r="I40" s="202"/>
      <c r="J40" s="203">
        <v>631.14</v>
      </c>
      <c r="K40" s="204"/>
      <c r="L40" s="203"/>
      <c r="M40" s="203"/>
      <c r="N40" s="203"/>
      <c r="O40" s="203"/>
      <c r="P40" s="203"/>
      <c r="Q40" s="203"/>
      <c r="R40" s="205"/>
      <c r="S40" s="206"/>
      <c r="T40" s="207"/>
      <c r="U40" s="208"/>
      <c r="V40" s="136"/>
    </row>
    <row r="41" spans="1:23" s="95" customFormat="1" ht="24" hidden="1" thickBot="1" x14ac:dyDescent="0.3">
      <c r="A41" s="86" t="s">
        <v>29</v>
      </c>
      <c r="B41" s="87"/>
      <c r="C41" s="87"/>
      <c r="D41" s="87"/>
      <c r="E41" s="87"/>
      <c r="F41" s="87"/>
      <c r="G41" s="87"/>
      <c r="H41" s="88"/>
      <c r="I41" s="89">
        <f t="shared" ref="I41:U41" si="12">I39-I40</f>
        <v>414.28999999999996</v>
      </c>
      <c r="J41" s="163">
        <f t="shared" si="12"/>
        <v>4.9999999999954525E-2</v>
      </c>
      <c r="K41" s="91">
        <f t="shared" si="12"/>
        <v>375.17</v>
      </c>
      <c r="L41" s="90">
        <f t="shared" si="12"/>
        <v>1298.73</v>
      </c>
      <c r="M41" s="90">
        <f t="shared" si="12"/>
        <v>832.24</v>
      </c>
      <c r="N41" s="90">
        <f t="shared" si="12"/>
        <v>880.68000000000006</v>
      </c>
      <c r="O41" s="90">
        <f t="shared" si="12"/>
        <v>314.49</v>
      </c>
      <c r="P41" s="90">
        <f t="shared" si="12"/>
        <v>0</v>
      </c>
      <c r="Q41" s="90">
        <f t="shared" si="12"/>
        <v>0</v>
      </c>
      <c r="R41" s="92">
        <f t="shared" si="12"/>
        <v>0</v>
      </c>
      <c r="S41" s="93">
        <f t="shared" si="12"/>
        <v>0</v>
      </c>
      <c r="T41" s="90">
        <f t="shared" si="12"/>
        <v>0</v>
      </c>
      <c r="U41" s="94">
        <f t="shared" si="12"/>
        <v>0</v>
      </c>
      <c r="V41" s="87"/>
      <c r="W41" s="87"/>
    </row>
    <row r="42" spans="1:23" s="95" customFormat="1" ht="24" hidden="1" thickBot="1" x14ac:dyDescent="0.3">
      <c r="A42" s="86" t="s">
        <v>30</v>
      </c>
      <c r="B42" s="87"/>
      <c r="C42" s="87"/>
      <c r="D42" s="87"/>
      <c r="E42" s="87"/>
      <c r="F42" s="87"/>
      <c r="G42" s="87"/>
      <c r="H42" s="88"/>
      <c r="I42" s="89"/>
      <c r="J42" s="90"/>
      <c r="K42" s="91"/>
      <c r="L42" s="90"/>
      <c r="M42" s="90"/>
      <c r="N42" s="90"/>
      <c r="O42" s="90"/>
      <c r="P42" s="90"/>
      <c r="Q42" s="90"/>
      <c r="R42" s="92"/>
      <c r="S42" s="93"/>
      <c r="T42" s="90"/>
      <c r="U42" s="94"/>
      <c r="V42" s="87"/>
      <c r="W42" s="87"/>
    </row>
    <row r="43" spans="1:23" s="50" customFormat="1" ht="16.5" thickBot="1" x14ac:dyDescent="0.3">
      <c r="A43" s="138" t="s">
        <v>49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48"/>
      <c r="W43" s="49"/>
    </row>
    <row r="44" spans="1:23" s="50" customFormat="1" ht="24" thickBot="1" x14ac:dyDescent="0.3">
      <c r="A44" s="209" t="s">
        <v>50</v>
      </c>
      <c r="B44" s="210">
        <v>2500</v>
      </c>
      <c r="C44" s="210">
        <v>3000</v>
      </c>
      <c r="D44" s="211">
        <f>3000+278.35+252.2</f>
        <v>3530.5499999999997</v>
      </c>
      <c r="E44" s="212" t="s">
        <v>51</v>
      </c>
      <c r="F44" s="213">
        <f>D44-G44</f>
        <v>1650.9099999999999</v>
      </c>
      <c r="G44" s="213">
        <f>D44-SUM(I44:U44)</f>
        <v>1879.6399999999999</v>
      </c>
      <c r="H44" s="214">
        <f>F44/D44</f>
        <v>0.46760703006613702</v>
      </c>
      <c r="I44" s="215">
        <f>5.97+153.21+162.46</f>
        <v>321.64</v>
      </c>
      <c r="J44" s="216">
        <f>46.87</f>
        <v>46.87</v>
      </c>
      <c r="K44" s="217">
        <v>85.71</v>
      </c>
      <c r="L44" s="216">
        <v>296.02999999999997</v>
      </c>
      <c r="M44" s="216">
        <f>206.04</f>
        <v>206.04</v>
      </c>
      <c r="N44" s="216">
        <f>288.36+337.69</f>
        <v>626.04999999999995</v>
      </c>
      <c r="O44" s="218">
        <v>68.569999999999993</v>
      </c>
      <c r="P44" s="216"/>
      <c r="Q44" s="216"/>
      <c r="R44" s="219"/>
      <c r="S44" s="220"/>
      <c r="T44" s="213"/>
      <c r="U44" s="221"/>
      <c r="V44" s="48"/>
      <c r="W44" s="49"/>
    </row>
    <row r="45" spans="1:23" s="85" customFormat="1" ht="24" hidden="1" thickBot="1" x14ac:dyDescent="0.3">
      <c r="A45" s="222" t="s">
        <v>28</v>
      </c>
      <c r="B45" s="223"/>
      <c r="C45" s="223"/>
      <c r="D45" s="223"/>
      <c r="E45" s="224"/>
      <c r="F45" s="225"/>
      <c r="G45" s="225"/>
      <c r="H45" s="226"/>
      <c r="I45" s="227"/>
      <c r="J45" s="228">
        <v>46.87</v>
      </c>
      <c r="K45" s="229"/>
      <c r="L45" s="228"/>
      <c r="M45" s="228"/>
      <c r="N45" s="228"/>
      <c r="O45" s="228"/>
      <c r="P45" s="228"/>
      <c r="Q45" s="228"/>
      <c r="R45" s="230"/>
      <c r="S45" s="231"/>
      <c r="T45" s="232"/>
      <c r="U45" s="233"/>
      <c r="V45" s="84"/>
      <c r="W45" s="84"/>
    </row>
    <row r="46" spans="1:23" s="95" customFormat="1" ht="15.75" hidden="1" thickBot="1" x14ac:dyDescent="0.3">
      <c r="A46" s="86" t="s">
        <v>29</v>
      </c>
      <c r="B46" s="87"/>
      <c r="C46" s="87"/>
      <c r="D46" s="87"/>
      <c r="E46" s="87"/>
      <c r="F46" s="87"/>
      <c r="G46" s="87"/>
      <c r="H46" s="88"/>
      <c r="I46" s="89">
        <f t="shared" ref="I46:U46" si="13">I44-I45</f>
        <v>321.64</v>
      </c>
      <c r="J46" s="90">
        <f t="shared" si="13"/>
        <v>0</v>
      </c>
      <c r="K46" s="90">
        <f t="shared" si="13"/>
        <v>85.71</v>
      </c>
      <c r="L46" s="90">
        <f t="shared" si="13"/>
        <v>296.02999999999997</v>
      </c>
      <c r="M46" s="90">
        <f t="shared" si="13"/>
        <v>206.04</v>
      </c>
      <c r="N46" s="90">
        <f t="shared" si="13"/>
        <v>626.04999999999995</v>
      </c>
      <c r="O46" s="90">
        <f t="shared" si="13"/>
        <v>68.569999999999993</v>
      </c>
      <c r="P46" s="90">
        <f t="shared" si="13"/>
        <v>0</v>
      </c>
      <c r="Q46" s="90">
        <f t="shared" si="13"/>
        <v>0</v>
      </c>
      <c r="R46" s="90">
        <f t="shared" si="13"/>
        <v>0</v>
      </c>
      <c r="S46" s="90">
        <f t="shared" si="13"/>
        <v>0</v>
      </c>
      <c r="T46" s="90">
        <f t="shared" si="13"/>
        <v>0</v>
      </c>
      <c r="U46" s="94">
        <f t="shared" si="13"/>
        <v>0</v>
      </c>
      <c r="V46" s="87"/>
      <c r="W46" s="87"/>
    </row>
    <row r="47" spans="1:23" s="95" customFormat="1" ht="24" hidden="1" thickBot="1" x14ac:dyDescent="0.3">
      <c r="A47" s="86" t="s">
        <v>30</v>
      </c>
      <c r="B47" s="87"/>
      <c r="C47" s="87"/>
      <c r="D47" s="87"/>
      <c r="E47" s="87"/>
      <c r="F47" s="87"/>
      <c r="G47" s="87"/>
      <c r="H47" s="88"/>
      <c r="I47" s="96"/>
      <c r="J47" s="97"/>
      <c r="K47" s="98"/>
      <c r="L47" s="97"/>
      <c r="M47" s="97"/>
      <c r="N47" s="97"/>
      <c r="O47" s="97"/>
      <c r="P47" s="97"/>
      <c r="Q47" s="97"/>
      <c r="R47" s="99"/>
      <c r="S47" s="100"/>
      <c r="T47" s="97"/>
      <c r="U47" s="101"/>
      <c r="V47" s="87"/>
      <c r="W47" s="87"/>
    </row>
    <row r="48" spans="1:23" x14ac:dyDescent="0.25">
      <c r="A48" s="234" t="s">
        <v>52</v>
      </c>
      <c r="B48" s="235">
        <v>2500</v>
      </c>
      <c r="C48" s="235">
        <f>2620+198</f>
        <v>2818</v>
      </c>
      <c r="D48" s="235">
        <f>2620+198</f>
        <v>2818</v>
      </c>
      <c r="E48" s="236" t="s">
        <v>53</v>
      </c>
      <c r="F48" s="31">
        <f>D48-G48</f>
        <v>1731.7700000000002</v>
      </c>
      <c r="G48" s="31">
        <f>D48-SUM(I48:U48)</f>
        <v>1086.2299999999998</v>
      </c>
      <c r="H48" s="237">
        <f>F48/D48</f>
        <v>0.61453867991483324</v>
      </c>
      <c r="I48" s="238">
        <v>16.04</v>
      </c>
      <c r="J48" s="239">
        <v>76.040000000000006</v>
      </c>
      <c r="K48" s="240">
        <f>16.04+106.99</f>
        <v>123.03</v>
      </c>
      <c r="L48" s="239">
        <f>196.77+537.3</f>
        <v>734.06999999999994</v>
      </c>
      <c r="M48" s="239">
        <f>16.04+95.7</f>
        <v>111.74000000000001</v>
      </c>
      <c r="N48" s="239">
        <f>16.04+149.62</f>
        <v>165.66</v>
      </c>
      <c r="O48" s="239">
        <v>505.19</v>
      </c>
      <c r="P48" s="239"/>
      <c r="Q48" s="239"/>
      <c r="R48" s="241"/>
      <c r="S48" s="242"/>
      <c r="T48" s="243"/>
      <c r="U48" s="244"/>
      <c r="V48" s="146"/>
      <c r="W48" s="147"/>
    </row>
    <row r="49" spans="1:23" s="50" customFormat="1" x14ac:dyDescent="0.25">
      <c r="A49" s="141" t="s">
        <v>54</v>
      </c>
      <c r="B49" s="140">
        <v>150</v>
      </c>
      <c r="C49" s="140">
        <v>150</v>
      </c>
      <c r="D49" s="140">
        <v>150</v>
      </c>
      <c r="E49" s="111" t="s">
        <v>53</v>
      </c>
      <c r="F49" s="112">
        <f>D49-G49</f>
        <v>51.170000000000016</v>
      </c>
      <c r="G49" s="112">
        <f>D49-SUM(I49:U49)</f>
        <v>98.829999999999984</v>
      </c>
      <c r="H49" s="42">
        <f>F49/D49</f>
        <v>0.34113333333333345</v>
      </c>
      <c r="I49" s="43"/>
      <c r="J49" s="44"/>
      <c r="K49" s="45">
        <v>3.95</v>
      </c>
      <c r="L49" s="44"/>
      <c r="M49" s="44">
        <v>43.27</v>
      </c>
      <c r="N49" s="44"/>
      <c r="O49" s="44">
        <v>3.95</v>
      </c>
      <c r="P49" s="44"/>
      <c r="Q49" s="44"/>
      <c r="R49" s="46"/>
      <c r="S49" s="47"/>
      <c r="T49" s="112"/>
      <c r="U49" s="114"/>
      <c r="V49" s="48"/>
      <c r="W49" s="49"/>
    </row>
    <row r="50" spans="1:23" s="50" customFormat="1" x14ac:dyDescent="0.25">
      <c r="A50" s="141" t="s">
        <v>55</v>
      </c>
      <c r="B50" s="140">
        <v>50</v>
      </c>
      <c r="C50" s="140">
        <v>230</v>
      </c>
      <c r="D50" s="140">
        <v>230</v>
      </c>
      <c r="E50" s="111" t="s">
        <v>53</v>
      </c>
      <c r="F50" s="112">
        <f>D50-G50</f>
        <v>60</v>
      </c>
      <c r="G50" s="112">
        <f>D50-SUM(I50:U50)</f>
        <v>170</v>
      </c>
      <c r="H50" s="42">
        <f>F50/D50</f>
        <v>0.2608695652173913</v>
      </c>
      <c r="I50" s="43"/>
      <c r="J50" s="44"/>
      <c r="K50" s="45">
        <v>30</v>
      </c>
      <c r="L50" s="44">
        <v>15</v>
      </c>
      <c r="M50" s="44"/>
      <c r="N50" s="44">
        <v>15</v>
      </c>
      <c r="O50" s="44"/>
      <c r="P50" s="44"/>
      <c r="Q50" s="44"/>
      <c r="R50" s="46"/>
      <c r="S50" s="47"/>
      <c r="T50" s="112"/>
      <c r="U50" s="114"/>
      <c r="V50" s="48"/>
      <c r="W50" s="49"/>
    </row>
    <row r="51" spans="1:23" s="50" customFormat="1" ht="24" thickBot="1" x14ac:dyDescent="0.3">
      <c r="A51" s="51" t="s">
        <v>56</v>
      </c>
      <c r="B51" s="142">
        <v>400</v>
      </c>
      <c r="C51" s="142">
        <v>500</v>
      </c>
      <c r="D51" s="142">
        <v>500</v>
      </c>
      <c r="E51" s="143" t="s">
        <v>53</v>
      </c>
      <c r="F51" s="123">
        <f>D51-G51</f>
        <v>0</v>
      </c>
      <c r="G51" s="123">
        <v>500</v>
      </c>
      <c r="H51" s="144">
        <f>F51/D51</f>
        <v>0</v>
      </c>
      <c r="I51" s="245"/>
      <c r="J51" s="119"/>
      <c r="K51" s="120"/>
      <c r="L51" s="119"/>
      <c r="M51" s="119">
        <v>43.74</v>
      </c>
      <c r="N51" s="119">
        <v>9</v>
      </c>
      <c r="O51" s="119"/>
      <c r="P51" s="119"/>
      <c r="Q51" s="119"/>
      <c r="R51" s="121"/>
      <c r="S51" s="122"/>
      <c r="T51" s="123"/>
      <c r="U51" s="124"/>
      <c r="V51" s="48"/>
      <c r="W51" s="49"/>
    </row>
    <row r="52" spans="1:23" s="50" customFormat="1" ht="24" thickBot="1" x14ac:dyDescent="0.3">
      <c r="A52" s="246" t="s">
        <v>27</v>
      </c>
      <c r="B52" s="247">
        <f>SUM(B48:B51)</f>
        <v>3100</v>
      </c>
      <c r="C52" s="247">
        <f>SUM(C48:C51)</f>
        <v>3698</v>
      </c>
      <c r="D52" s="247">
        <f>SUM(D48:D51)</f>
        <v>3698</v>
      </c>
      <c r="E52" s="248" t="s">
        <v>53</v>
      </c>
      <c r="F52" s="249">
        <f>D52-G52</f>
        <v>1895.6800000000003</v>
      </c>
      <c r="G52" s="249">
        <f>D52-SUM(I52:U52)</f>
        <v>1802.3199999999997</v>
      </c>
      <c r="H52" s="167">
        <f>F52/D52</f>
        <v>0.51262303948080046</v>
      </c>
      <c r="I52" s="250">
        <f t="shared" ref="I52:U52" si="14">SUM(I48:I51)</f>
        <v>16.04</v>
      </c>
      <c r="J52" s="251">
        <f t="shared" si="14"/>
        <v>76.040000000000006</v>
      </c>
      <c r="K52" s="252">
        <f t="shared" si="14"/>
        <v>156.98000000000002</v>
      </c>
      <c r="L52" s="251">
        <f t="shared" si="14"/>
        <v>749.06999999999994</v>
      </c>
      <c r="M52" s="251">
        <f t="shared" si="14"/>
        <v>198.75000000000003</v>
      </c>
      <c r="N52" s="251">
        <f t="shared" si="14"/>
        <v>189.66</v>
      </c>
      <c r="O52" s="251">
        <f t="shared" si="14"/>
        <v>509.14</v>
      </c>
      <c r="P52" s="251">
        <f t="shared" si="14"/>
        <v>0</v>
      </c>
      <c r="Q52" s="251">
        <f t="shared" si="14"/>
        <v>0</v>
      </c>
      <c r="R52" s="253">
        <f t="shared" si="14"/>
        <v>0</v>
      </c>
      <c r="S52" s="254">
        <f t="shared" si="14"/>
        <v>0</v>
      </c>
      <c r="T52" s="251">
        <f t="shared" si="14"/>
        <v>0</v>
      </c>
      <c r="U52" s="255">
        <f t="shared" si="14"/>
        <v>0</v>
      </c>
      <c r="V52" s="48"/>
      <c r="W52" s="189"/>
    </row>
    <row r="53" spans="1:23" s="137" customFormat="1" hidden="1" x14ac:dyDescent="0.25">
      <c r="A53" s="256" t="s">
        <v>28</v>
      </c>
      <c r="B53" s="257"/>
      <c r="C53" s="257"/>
      <c r="D53" s="257"/>
      <c r="E53" s="257"/>
      <c r="F53" s="258"/>
      <c r="G53" s="258"/>
      <c r="H53" s="259"/>
      <c r="I53" s="260"/>
      <c r="J53" s="261">
        <v>76.040000000000006</v>
      </c>
      <c r="K53" s="262"/>
      <c r="L53" s="261"/>
      <c r="M53" s="261"/>
      <c r="N53" s="261"/>
      <c r="O53" s="261"/>
      <c r="P53" s="261"/>
      <c r="Q53" s="261"/>
      <c r="R53" s="263"/>
      <c r="S53" s="264"/>
      <c r="T53" s="200"/>
      <c r="U53" s="265"/>
      <c r="V53" s="136"/>
    </row>
    <row r="54" spans="1:23" s="95" customFormat="1" ht="24" hidden="1" thickBot="1" x14ac:dyDescent="0.3">
      <c r="A54" s="86" t="s">
        <v>29</v>
      </c>
      <c r="B54" s="87"/>
      <c r="C54" s="87"/>
      <c r="D54" s="87"/>
      <c r="E54" s="87"/>
      <c r="F54" s="87"/>
      <c r="G54" s="87"/>
      <c r="H54" s="88"/>
      <c r="I54" s="89">
        <f t="shared" ref="I54:U54" si="15">I52-I53</f>
        <v>16.04</v>
      </c>
      <c r="J54" s="90">
        <f t="shared" si="15"/>
        <v>0</v>
      </c>
      <c r="K54" s="91">
        <f t="shared" si="15"/>
        <v>156.98000000000002</v>
      </c>
      <c r="L54" s="90">
        <f t="shared" si="15"/>
        <v>749.06999999999994</v>
      </c>
      <c r="M54" s="90">
        <f t="shared" si="15"/>
        <v>198.75000000000003</v>
      </c>
      <c r="N54" s="90">
        <f t="shared" si="15"/>
        <v>189.66</v>
      </c>
      <c r="O54" s="90">
        <f t="shared" si="15"/>
        <v>509.14</v>
      </c>
      <c r="P54" s="90">
        <f t="shared" si="15"/>
        <v>0</v>
      </c>
      <c r="Q54" s="90">
        <f t="shared" si="15"/>
        <v>0</v>
      </c>
      <c r="R54" s="92">
        <f t="shared" si="15"/>
        <v>0</v>
      </c>
      <c r="S54" s="93">
        <f t="shared" si="15"/>
        <v>0</v>
      </c>
      <c r="T54" s="90">
        <f t="shared" si="15"/>
        <v>0</v>
      </c>
      <c r="U54" s="94">
        <f t="shared" si="15"/>
        <v>0</v>
      </c>
      <c r="V54" s="87"/>
      <c r="W54" s="87"/>
    </row>
    <row r="55" spans="1:23" s="95" customFormat="1" ht="24" hidden="1" thickBot="1" x14ac:dyDescent="0.3">
      <c r="A55" s="86" t="s">
        <v>30</v>
      </c>
      <c r="B55" s="87"/>
      <c r="C55" s="87"/>
      <c r="D55" s="87"/>
      <c r="E55" s="87"/>
      <c r="F55" s="87"/>
      <c r="G55" s="87"/>
      <c r="H55" s="88"/>
      <c r="I55" s="89"/>
      <c r="J55" s="90"/>
      <c r="K55" s="91"/>
      <c r="L55" s="90"/>
      <c r="M55" s="90"/>
      <c r="N55" s="90"/>
      <c r="O55" s="90"/>
      <c r="P55" s="90"/>
      <c r="Q55" s="90"/>
      <c r="R55" s="92"/>
      <c r="S55" s="93"/>
      <c r="T55" s="90"/>
      <c r="U55" s="94"/>
      <c r="V55" s="87"/>
      <c r="W55" s="87"/>
    </row>
    <row r="56" spans="1:23" s="270" customFormat="1" ht="24" thickBot="1" x14ac:dyDescent="0.3">
      <c r="A56" s="266" t="s">
        <v>57</v>
      </c>
      <c r="B56" s="84"/>
      <c r="C56" s="84"/>
      <c r="D56" s="84"/>
      <c r="E56" s="84"/>
      <c r="F56" s="84"/>
      <c r="G56" s="84"/>
      <c r="H56" s="267"/>
      <c r="I56" s="268"/>
      <c r="J56" s="228"/>
      <c r="K56" s="229"/>
      <c r="L56" s="228"/>
      <c r="M56" s="228"/>
      <c r="N56" s="228"/>
      <c r="O56" s="228"/>
      <c r="P56" s="228"/>
      <c r="Q56" s="228"/>
      <c r="R56" s="230"/>
      <c r="S56" s="231"/>
      <c r="T56" s="232"/>
      <c r="U56" s="233"/>
      <c r="V56" s="269"/>
      <c r="W56" s="84"/>
    </row>
    <row r="57" spans="1:23" s="50" customFormat="1" ht="24" thickBot="1" x14ac:dyDescent="0.3">
      <c r="A57" s="271" t="s">
        <v>58</v>
      </c>
      <c r="B57" s="272">
        <v>674</v>
      </c>
      <c r="C57" s="272">
        <v>600</v>
      </c>
      <c r="D57" s="273">
        <f>600+261.87</f>
        <v>861.87</v>
      </c>
      <c r="E57" s="274" t="s">
        <v>59</v>
      </c>
      <c r="F57" s="275">
        <f>D57-G57</f>
        <v>448.84</v>
      </c>
      <c r="G57" s="275">
        <f>D57-SUM(I57:U57)</f>
        <v>413.03000000000003</v>
      </c>
      <c r="H57" s="276">
        <f>F57/D57</f>
        <v>0.52077459477647436</v>
      </c>
      <c r="I57" s="277">
        <f>54.54</f>
        <v>54.54</v>
      </c>
      <c r="J57" s="278"/>
      <c r="K57" s="279"/>
      <c r="L57" s="278"/>
      <c r="M57" s="278">
        <v>125.15</v>
      </c>
      <c r="N57" s="278">
        <f>76.73+140.4</f>
        <v>217.13</v>
      </c>
      <c r="O57" s="278">
        <v>52.02</v>
      </c>
      <c r="P57" s="278"/>
      <c r="Q57" s="278"/>
      <c r="R57" s="280"/>
      <c r="S57" s="281"/>
      <c r="T57" s="275"/>
      <c r="U57" s="282"/>
      <c r="V57" s="48"/>
      <c r="W57" s="49"/>
    </row>
    <row r="58" spans="1:23" s="137" customFormat="1" ht="24" hidden="1" thickBot="1" x14ac:dyDescent="0.3">
      <c r="A58" s="256" t="s">
        <v>28</v>
      </c>
      <c r="B58" s="283"/>
      <c r="C58" s="283"/>
      <c r="D58" s="283"/>
      <c r="E58" s="284"/>
      <c r="F58" s="285"/>
      <c r="G58" s="285"/>
      <c r="H58" s="286"/>
      <c r="I58" s="202"/>
      <c r="J58" s="202"/>
      <c r="K58" s="287"/>
      <c r="L58" s="202"/>
      <c r="M58" s="202"/>
      <c r="N58" s="202"/>
      <c r="O58" s="202"/>
      <c r="P58" s="202"/>
      <c r="Q58" s="202"/>
      <c r="R58" s="288"/>
      <c r="S58" s="289"/>
      <c r="T58" s="202"/>
      <c r="U58" s="290"/>
      <c r="V58" s="136"/>
    </row>
    <row r="59" spans="1:23" s="95" customFormat="1" ht="15.75" hidden="1" thickBot="1" x14ac:dyDescent="0.3">
      <c r="A59" s="86" t="s">
        <v>29</v>
      </c>
      <c r="B59" s="87"/>
      <c r="C59" s="87"/>
      <c r="D59" s="87"/>
      <c r="E59" s="87"/>
      <c r="F59" s="87"/>
      <c r="G59" s="87"/>
      <c r="H59" s="88"/>
      <c r="I59" s="89">
        <f t="shared" ref="I59:U59" si="16">I57-I58</f>
        <v>54.54</v>
      </c>
      <c r="J59" s="90">
        <f t="shared" si="16"/>
        <v>0</v>
      </c>
      <c r="K59" s="90">
        <f t="shared" si="16"/>
        <v>0</v>
      </c>
      <c r="L59" s="90">
        <f t="shared" si="16"/>
        <v>0</v>
      </c>
      <c r="M59" s="90">
        <f t="shared" si="16"/>
        <v>125.15</v>
      </c>
      <c r="N59" s="90">
        <f t="shared" si="16"/>
        <v>217.13</v>
      </c>
      <c r="O59" s="90">
        <f t="shared" si="16"/>
        <v>52.02</v>
      </c>
      <c r="P59" s="90">
        <f t="shared" si="16"/>
        <v>0</v>
      </c>
      <c r="Q59" s="90">
        <f t="shared" si="16"/>
        <v>0</v>
      </c>
      <c r="R59" s="90">
        <f t="shared" si="16"/>
        <v>0</v>
      </c>
      <c r="S59" s="90">
        <f t="shared" si="16"/>
        <v>0</v>
      </c>
      <c r="T59" s="90">
        <f t="shared" si="16"/>
        <v>0</v>
      </c>
      <c r="U59" s="94">
        <f t="shared" si="16"/>
        <v>0</v>
      </c>
      <c r="V59" s="87"/>
      <c r="W59" s="87"/>
    </row>
    <row r="60" spans="1:23" s="95" customFormat="1" ht="24" hidden="1" thickBot="1" x14ac:dyDescent="0.3">
      <c r="A60" s="86" t="s">
        <v>30</v>
      </c>
      <c r="B60" s="87"/>
      <c r="C60" s="87"/>
      <c r="D60" s="87"/>
      <c r="E60" s="87"/>
      <c r="F60" s="87"/>
      <c r="G60" s="87"/>
      <c r="H60" s="88"/>
      <c r="I60" s="96"/>
      <c r="J60" s="97"/>
      <c r="K60" s="98"/>
      <c r="L60" s="97"/>
      <c r="M60" s="97"/>
      <c r="N60" s="97"/>
      <c r="O60" s="97"/>
      <c r="P60" s="97"/>
      <c r="Q60" s="97"/>
      <c r="R60" s="99"/>
      <c r="S60" s="100"/>
      <c r="T60" s="97"/>
      <c r="U60" s="101"/>
      <c r="V60" s="87"/>
      <c r="W60" s="87"/>
    </row>
    <row r="61" spans="1:23" s="50" customFormat="1" ht="24" thickBot="1" x14ac:dyDescent="0.3">
      <c r="A61" s="291" t="s">
        <v>60</v>
      </c>
      <c r="B61" s="292">
        <v>1700</v>
      </c>
      <c r="C61" s="292">
        <v>1700</v>
      </c>
      <c r="D61" s="292">
        <v>1700</v>
      </c>
      <c r="E61" s="293" t="s">
        <v>61</v>
      </c>
      <c r="F61" s="294">
        <f>D61-G61</f>
        <v>304.56999999999994</v>
      </c>
      <c r="G61" s="294">
        <f>D61-SUM(I61:U61)</f>
        <v>1395.43</v>
      </c>
      <c r="H61" s="295">
        <f>F61/D61</f>
        <v>0.17915882352941173</v>
      </c>
      <c r="I61" s="296">
        <f>9.25+27.52</f>
        <v>36.769999999999996</v>
      </c>
      <c r="J61" s="297">
        <f>40+227.8</f>
        <v>267.8</v>
      </c>
      <c r="K61" s="298"/>
      <c r="L61" s="297"/>
      <c r="M61" s="297"/>
      <c r="N61" s="297"/>
      <c r="O61" s="297"/>
      <c r="P61" s="297"/>
      <c r="Q61" s="297"/>
      <c r="R61" s="299"/>
      <c r="S61" s="300"/>
      <c r="T61" s="301"/>
      <c r="U61" s="302"/>
      <c r="V61" s="48"/>
    </row>
    <row r="62" spans="1:23" s="137" customFormat="1" ht="24" hidden="1" thickBot="1" x14ac:dyDescent="0.3">
      <c r="A62" s="303" t="s">
        <v>28</v>
      </c>
      <c r="B62" s="283"/>
      <c r="C62" s="283"/>
      <c r="D62" s="283"/>
      <c r="E62" s="284"/>
      <c r="F62" s="285"/>
      <c r="G62" s="285"/>
      <c r="H62" s="286"/>
      <c r="I62" s="304"/>
      <c r="J62" s="304">
        <v>267.8</v>
      </c>
      <c r="K62" s="305"/>
      <c r="L62" s="304"/>
      <c r="M62" s="304"/>
      <c r="N62" s="304"/>
      <c r="O62" s="304"/>
      <c r="P62" s="304"/>
      <c r="Q62" s="304"/>
      <c r="R62" s="306"/>
      <c r="S62" s="307"/>
      <c r="T62" s="304"/>
      <c r="U62" s="308"/>
      <c r="V62" s="136"/>
    </row>
    <row r="63" spans="1:23" s="95" customFormat="1" ht="24" hidden="1" thickBot="1" x14ac:dyDescent="0.3">
      <c r="A63" s="86" t="s">
        <v>29</v>
      </c>
      <c r="B63" s="87"/>
      <c r="C63" s="87"/>
      <c r="D63" s="87"/>
      <c r="E63" s="87"/>
      <c r="F63" s="87"/>
      <c r="G63" s="87"/>
      <c r="H63" s="88"/>
      <c r="I63" s="89">
        <f t="shared" ref="I63:U63" si="17">I61-I62</f>
        <v>36.769999999999996</v>
      </c>
      <c r="J63" s="90">
        <f t="shared" si="17"/>
        <v>0</v>
      </c>
      <c r="K63" s="91">
        <f t="shared" si="17"/>
        <v>0</v>
      </c>
      <c r="L63" s="90">
        <f t="shared" si="17"/>
        <v>0</v>
      </c>
      <c r="M63" s="90">
        <f t="shared" si="17"/>
        <v>0</v>
      </c>
      <c r="N63" s="90">
        <f t="shared" si="17"/>
        <v>0</v>
      </c>
      <c r="O63" s="90">
        <f t="shared" si="17"/>
        <v>0</v>
      </c>
      <c r="P63" s="90">
        <f t="shared" si="17"/>
        <v>0</v>
      </c>
      <c r="Q63" s="90">
        <f t="shared" si="17"/>
        <v>0</v>
      </c>
      <c r="R63" s="92">
        <f t="shared" si="17"/>
        <v>0</v>
      </c>
      <c r="S63" s="93">
        <f t="shared" si="17"/>
        <v>0</v>
      </c>
      <c r="T63" s="90">
        <f t="shared" si="17"/>
        <v>0</v>
      </c>
      <c r="U63" s="94">
        <f t="shared" si="17"/>
        <v>0</v>
      </c>
      <c r="V63" s="87"/>
      <c r="W63" s="87"/>
    </row>
    <row r="64" spans="1:23" s="95" customFormat="1" ht="24" hidden="1" thickBot="1" x14ac:dyDescent="0.3">
      <c r="A64" s="86" t="s">
        <v>30</v>
      </c>
      <c r="B64" s="87"/>
      <c r="C64" s="87"/>
      <c r="D64" s="87"/>
      <c r="E64" s="87"/>
      <c r="F64" s="87"/>
      <c r="G64" s="87"/>
      <c r="H64" s="88"/>
      <c r="I64" s="89"/>
      <c r="J64" s="90"/>
      <c r="K64" s="91"/>
      <c r="L64" s="90"/>
      <c r="M64" s="90"/>
      <c r="N64" s="90"/>
      <c r="O64" s="90"/>
      <c r="P64" s="90"/>
      <c r="Q64" s="90"/>
      <c r="R64" s="92"/>
      <c r="S64" s="93"/>
      <c r="T64" s="90"/>
      <c r="U64" s="94"/>
      <c r="V64" s="87"/>
      <c r="W64" s="87"/>
    </row>
    <row r="65" spans="1:25" s="270" customFormat="1" ht="24" hidden="1" thickBot="1" x14ac:dyDescent="0.3">
      <c r="A65" s="309"/>
      <c r="B65" s="310"/>
      <c r="C65" s="310"/>
      <c r="D65" s="310"/>
      <c r="E65" s="310"/>
      <c r="F65" s="232"/>
      <c r="G65" s="232"/>
      <c r="H65" s="311"/>
      <c r="I65" s="268"/>
      <c r="J65" s="228"/>
      <c r="K65" s="229"/>
      <c r="L65" s="228"/>
      <c r="M65" s="228"/>
      <c r="N65" s="228"/>
      <c r="O65" s="228"/>
      <c r="P65" s="228"/>
      <c r="Q65" s="228"/>
      <c r="R65" s="230"/>
      <c r="S65" s="231"/>
      <c r="T65" s="232"/>
      <c r="U65" s="233"/>
      <c r="V65" s="269"/>
      <c r="W65" s="84"/>
    </row>
    <row r="66" spans="1:25" s="50" customFormat="1" ht="24" thickBot="1" x14ac:dyDescent="0.3">
      <c r="A66" s="312" t="s">
        <v>62</v>
      </c>
      <c r="B66" s="212">
        <v>0</v>
      </c>
      <c r="C66" s="313"/>
      <c r="D66" s="314">
        <v>4143</v>
      </c>
      <c r="E66" s="212" t="s">
        <v>62</v>
      </c>
      <c r="F66" s="213">
        <f>D66-G66</f>
        <v>558</v>
      </c>
      <c r="G66" s="213">
        <f>D66-SUM(I66:U66)</f>
        <v>3585</v>
      </c>
      <c r="H66" s="315">
        <f>F66/D66</f>
        <v>0.13468501086169443</v>
      </c>
      <c r="I66" s="215">
        <v>27.18</v>
      </c>
      <c r="J66" s="216">
        <v>88.47</v>
      </c>
      <c r="K66" s="217">
        <v>88.47</v>
      </c>
      <c r="L66" s="216">
        <v>88.47</v>
      </c>
      <c r="M66" s="216">
        <v>88.47</v>
      </c>
      <c r="N66" s="216">
        <v>88.47</v>
      </c>
      <c r="O66" s="216">
        <v>88.47</v>
      </c>
      <c r="P66" s="216"/>
      <c r="Q66" s="216"/>
      <c r="R66" s="219"/>
      <c r="S66" s="220"/>
      <c r="T66" s="213"/>
      <c r="U66" s="221"/>
      <c r="V66" s="48"/>
      <c r="W66" s="49"/>
    </row>
    <row r="67" spans="1:25" s="137" customFormat="1" ht="24" hidden="1" thickBot="1" x14ac:dyDescent="0.3">
      <c r="A67" s="316" t="s">
        <v>28</v>
      </c>
      <c r="B67" s="317"/>
      <c r="C67" s="317"/>
      <c r="D67" s="317"/>
      <c r="E67" s="317"/>
      <c r="F67" s="318"/>
      <c r="G67" s="318"/>
      <c r="H67" s="319"/>
      <c r="I67" s="320"/>
      <c r="J67" s="320">
        <v>88.47</v>
      </c>
      <c r="K67" s="321"/>
      <c r="L67" s="320"/>
      <c r="M67" s="320"/>
      <c r="N67" s="320">
        <v>88.47</v>
      </c>
      <c r="O67" s="320"/>
      <c r="P67" s="320"/>
      <c r="Q67" s="320"/>
      <c r="R67" s="322"/>
      <c r="S67" s="323"/>
      <c r="T67" s="320"/>
      <c r="U67" s="324"/>
      <c r="V67" s="136"/>
    </row>
    <row r="68" spans="1:25" s="95" customFormat="1" ht="24" hidden="1" thickBot="1" x14ac:dyDescent="0.3">
      <c r="A68" s="86" t="s">
        <v>29</v>
      </c>
      <c r="B68" s="87"/>
      <c r="C68" s="87"/>
      <c r="D68" s="87"/>
      <c r="E68" s="87"/>
      <c r="F68" s="87"/>
      <c r="G68" s="87"/>
      <c r="H68" s="88"/>
      <c r="I68" s="89">
        <f t="shared" ref="I68:U68" si="18">I66-I67</f>
        <v>27.18</v>
      </c>
      <c r="J68" s="90">
        <f t="shared" si="18"/>
        <v>0</v>
      </c>
      <c r="K68" s="91">
        <f t="shared" si="18"/>
        <v>88.47</v>
      </c>
      <c r="L68" s="90">
        <f t="shared" si="18"/>
        <v>88.47</v>
      </c>
      <c r="M68" s="90">
        <f t="shared" si="18"/>
        <v>88.47</v>
      </c>
      <c r="N68" s="90">
        <f t="shared" si="18"/>
        <v>0</v>
      </c>
      <c r="O68" s="90">
        <f t="shared" si="18"/>
        <v>88.47</v>
      </c>
      <c r="P68" s="90">
        <f t="shared" si="18"/>
        <v>0</v>
      </c>
      <c r="Q68" s="90">
        <f t="shared" si="18"/>
        <v>0</v>
      </c>
      <c r="R68" s="92">
        <f t="shared" si="18"/>
        <v>0</v>
      </c>
      <c r="S68" s="93">
        <f t="shared" si="18"/>
        <v>0</v>
      </c>
      <c r="T68" s="90">
        <f t="shared" si="18"/>
        <v>0</v>
      </c>
      <c r="U68" s="94">
        <f t="shared" si="18"/>
        <v>0</v>
      </c>
      <c r="V68" s="87"/>
      <c r="W68" s="87"/>
    </row>
    <row r="69" spans="1:25" s="95" customFormat="1" ht="24" hidden="1" thickBot="1" x14ac:dyDescent="0.3">
      <c r="A69" s="86" t="s">
        <v>30</v>
      </c>
      <c r="B69" s="87"/>
      <c r="C69" s="87"/>
      <c r="D69" s="87"/>
      <c r="E69" s="87"/>
      <c r="F69" s="87"/>
      <c r="G69" s="87"/>
      <c r="H69" s="88"/>
      <c r="I69" s="89"/>
      <c r="J69" s="90"/>
      <c r="K69" s="91"/>
      <c r="L69" s="90"/>
      <c r="M69" s="90"/>
      <c r="N69" s="90"/>
      <c r="O69" s="90"/>
      <c r="P69" s="90"/>
      <c r="Q69" s="90"/>
      <c r="R69" s="92"/>
      <c r="S69" s="93"/>
      <c r="T69" s="90"/>
      <c r="U69" s="94"/>
      <c r="V69" s="87"/>
      <c r="W69" s="87"/>
    </row>
    <row r="70" spans="1:25" s="95" customFormat="1" ht="24" hidden="1" thickBot="1" x14ac:dyDescent="0.3">
      <c r="B70" s="87"/>
      <c r="C70" s="87"/>
      <c r="D70" s="87"/>
      <c r="E70" s="87"/>
      <c r="F70" s="87"/>
      <c r="G70" s="87"/>
      <c r="H70" s="88"/>
      <c r="I70" s="325"/>
      <c r="J70" s="90"/>
      <c r="K70" s="91"/>
      <c r="L70" s="90"/>
      <c r="M70" s="90"/>
      <c r="N70" s="90"/>
      <c r="O70" s="90"/>
      <c r="P70" s="90"/>
      <c r="Q70" s="90"/>
      <c r="R70" s="92"/>
      <c r="S70" s="93"/>
      <c r="T70" s="90"/>
      <c r="U70" s="94"/>
      <c r="V70" s="87"/>
      <c r="W70" s="87"/>
    </row>
    <row r="71" spans="1:25" ht="24" thickBot="1" x14ac:dyDescent="0.3">
      <c r="A71" s="326" t="s">
        <v>63</v>
      </c>
      <c r="B71" s="327">
        <f>B7+B15+B25+B31+B39+B44+B52+B57+B61+B66</f>
        <v>72660</v>
      </c>
      <c r="C71" s="328">
        <f>C7+C15+C25+C31+C39+C44+C52+C57+C61+C66</f>
        <v>83826</v>
      </c>
      <c r="D71" s="328">
        <f>D7+D15+D25+D31+D39+D44+D52+D57+D61+D66</f>
        <v>88761.42</v>
      </c>
      <c r="E71" s="329"/>
      <c r="F71" s="330">
        <f>D71-G71</f>
        <v>38241.660000000003</v>
      </c>
      <c r="G71" s="331">
        <f>D71-SUM(I71:U71)</f>
        <v>50519.759999999995</v>
      </c>
      <c r="H71" s="315">
        <f>F71/D71</f>
        <v>0.43083650531954093</v>
      </c>
      <c r="I71" s="332">
        <f t="shared" ref="I71:U71" si="19">I7+I15+I25+I31+I39+I44+I52+I57+I61+I66</f>
        <v>5001.8000000000011</v>
      </c>
      <c r="J71" s="332">
        <f t="shared" si="19"/>
        <v>8245.0199999999986</v>
      </c>
      <c r="K71" s="333">
        <f t="shared" si="19"/>
        <v>5079.170000000001</v>
      </c>
      <c r="L71" s="332">
        <f t="shared" si="19"/>
        <v>6484.07</v>
      </c>
      <c r="M71" s="332">
        <f t="shared" si="19"/>
        <v>5576.82</v>
      </c>
      <c r="N71" s="332">
        <f t="shared" si="19"/>
        <v>6113.8200000000006</v>
      </c>
      <c r="O71" s="332">
        <f t="shared" si="19"/>
        <v>1740.9599999999998</v>
      </c>
      <c r="P71" s="332">
        <f t="shared" si="19"/>
        <v>0</v>
      </c>
      <c r="Q71" s="332">
        <f t="shared" si="19"/>
        <v>0</v>
      </c>
      <c r="R71" s="334">
        <f t="shared" si="19"/>
        <v>0</v>
      </c>
      <c r="S71" s="335">
        <f t="shared" si="19"/>
        <v>0</v>
      </c>
      <c r="T71" s="332">
        <f t="shared" si="19"/>
        <v>0</v>
      </c>
      <c r="U71" s="332">
        <f t="shared" si="19"/>
        <v>0</v>
      </c>
      <c r="V71" s="146"/>
      <c r="W71" s="336"/>
    </row>
    <row r="72" spans="1:25" s="349" customFormat="1" ht="24" hidden="1" thickBot="1" x14ac:dyDescent="0.3">
      <c r="A72" s="337" t="s">
        <v>28</v>
      </c>
      <c r="B72" s="338">
        <v>72660</v>
      </c>
      <c r="C72" s="338">
        <v>83826</v>
      </c>
      <c r="D72" s="338">
        <v>83826</v>
      </c>
      <c r="E72" s="339"/>
      <c r="F72" s="340"/>
      <c r="G72" s="341" t="e">
        <f>#REF!-18</f>
        <v>#REF!</v>
      </c>
      <c r="H72" s="342"/>
      <c r="I72" s="343"/>
      <c r="J72" s="343"/>
      <c r="K72" s="344"/>
      <c r="L72" s="343"/>
      <c r="M72" s="343"/>
      <c r="N72" s="343">
        <v>6095.82</v>
      </c>
      <c r="O72" s="343"/>
      <c r="P72" s="343"/>
      <c r="Q72" s="343"/>
      <c r="R72" s="345"/>
      <c r="S72" s="346"/>
      <c r="T72" s="343"/>
      <c r="U72" s="343"/>
      <c r="V72" s="347"/>
      <c r="W72" s="348"/>
      <c r="Y72" s="350"/>
    </row>
    <row r="73" spans="1:25" s="95" customFormat="1" ht="24" hidden="1" thickBot="1" x14ac:dyDescent="0.3">
      <c r="A73" s="86" t="s">
        <v>29</v>
      </c>
      <c r="B73" s="87"/>
      <c r="C73" s="87"/>
      <c r="D73" s="87"/>
      <c r="E73" s="87"/>
      <c r="F73" s="87">
        <f>F71-F72</f>
        <v>38241.660000000003</v>
      </c>
      <c r="G73" s="351" t="e">
        <f>F71-G72</f>
        <v>#REF!</v>
      </c>
      <c r="H73" s="88"/>
      <c r="I73" s="89">
        <f t="shared" ref="I73:P73" si="20">I71-I72</f>
        <v>5001.8000000000011</v>
      </c>
      <c r="J73" s="90">
        <f t="shared" si="20"/>
        <v>8245.0199999999986</v>
      </c>
      <c r="K73" s="91">
        <f t="shared" si="20"/>
        <v>5079.170000000001</v>
      </c>
      <c r="L73" s="90">
        <f t="shared" si="20"/>
        <v>6484.07</v>
      </c>
      <c r="M73" s="90">
        <f t="shared" si="20"/>
        <v>5576.82</v>
      </c>
      <c r="N73" s="163">
        <f t="shared" si="20"/>
        <v>18.000000000000909</v>
      </c>
      <c r="O73" s="90">
        <f t="shared" si="20"/>
        <v>1740.9599999999998</v>
      </c>
      <c r="P73" s="90">
        <f t="shared" si="20"/>
        <v>0</v>
      </c>
      <c r="Q73" s="90">
        <f>Q71-Q72-16</f>
        <v>-16</v>
      </c>
      <c r="R73" s="92">
        <f>R71-R72</f>
        <v>0</v>
      </c>
      <c r="S73" s="93">
        <f>S71-S72</f>
        <v>0</v>
      </c>
      <c r="T73" s="90">
        <f>T71-T72</f>
        <v>0</v>
      </c>
      <c r="U73" s="94">
        <f>U71-U72</f>
        <v>0</v>
      </c>
      <c r="V73" s="87"/>
      <c r="W73" s="87"/>
    </row>
    <row r="74" spans="1:25" s="95" customFormat="1" ht="24" hidden="1" thickBot="1" x14ac:dyDescent="0.3">
      <c r="A74" s="86" t="s">
        <v>30</v>
      </c>
      <c r="B74" s="87"/>
      <c r="C74" s="87"/>
      <c r="D74" s="87"/>
      <c r="E74" s="87"/>
      <c r="F74" s="87"/>
      <c r="G74" s="87"/>
      <c r="H74" s="88"/>
      <c r="I74" s="89"/>
      <c r="J74" s="90"/>
      <c r="K74" s="91"/>
      <c r="L74" s="90"/>
      <c r="M74" s="90"/>
      <c r="N74" s="90"/>
      <c r="O74" s="90"/>
      <c r="P74" s="90"/>
      <c r="Q74" s="90"/>
      <c r="R74" s="92"/>
      <c r="S74" s="93"/>
      <c r="T74" s="90"/>
      <c r="U74" s="94"/>
      <c r="V74" s="87"/>
      <c r="W74" s="87"/>
    </row>
    <row r="75" spans="1:25" s="16" customFormat="1" ht="18.75" hidden="1" x14ac:dyDescent="0.25">
      <c r="A75" s="352">
        <f>D71-C71</f>
        <v>4935.4199999999983</v>
      </c>
      <c r="B75" s="353"/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4"/>
      <c r="W75" s="355"/>
      <c r="Y75" s="356"/>
    </row>
    <row r="76" spans="1:25" s="16" customFormat="1" ht="19.5" thickBot="1" x14ac:dyDescent="0.3">
      <c r="A76" s="357" t="s">
        <v>64</v>
      </c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4"/>
      <c r="W76" s="355"/>
      <c r="Y76" s="356"/>
    </row>
    <row r="77" spans="1:25" ht="24" thickBot="1" x14ac:dyDescent="0.3">
      <c r="A77" s="28" t="s">
        <v>65</v>
      </c>
      <c r="B77" s="30">
        <f>B71-B78-B79</f>
        <v>41775</v>
      </c>
      <c r="C77" s="30">
        <f>C71-C78-C79</f>
        <v>52941</v>
      </c>
      <c r="D77" s="30">
        <f>D71-D78-D79</f>
        <v>57876.42</v>
      </c>
      <c r="E77" s="30"/>
      <c r="F77" s="31">
        <f t="shared" ref="F77:F84" si="21">SUM(I77:U77)</f>
        <v>0</v>
      </c>
      <c r="G77" s="359" t="s">
        <v>66</v>
      </c>
      <c r="H77" s="108">
        <f t="shared" ref="H77:H84" si="22">F77/D77</f>
        <v>0</v>
      </c>
      <c r="I77" s="185"/>
      <c r="J77" s="34"/>
      <c r="K77" s="35"/>
      <c r="L77" s="34"/>
      <c r="M77" s="34"/>
      <c r="N77" s="34"/>
      <c r="O77" s="34"/>
      <c r="P77" s="34"/>
      <c r="Q77" s="34"/>
      <c r="R77" s="36"/>
      <c r="S77" s="37"/>
      <c r="T77" s="31"/>
      <c r="U77" s="109"/>
      <c r="V77" s="146"/>
      <c r="W77" s="147"/>
    </row>
    <row r="78" spans="1:25" s="50" customFormat="1" x14ac:dyDescent="0.25">
      <c r="A78" s="110" t="s">
        <v>67</v>
      </c>
      <c r="B78" s="111">
        <v>29290</v>
      </c>
      <c r="C78" s="111">
        <v>29290</v>
      </c>
      <c r="D78" s="111">
        <v>29290</v>
      </c>
      <c r="E78" s="111"/>
      <c r="F78" s="112">
        <f t="shared" si="21"/>
        <v>14850</v>
      </c>
      <c r="G78" s="112"/>
      <c r="H78" s="113">
        <f t="shared" si="22"/>
        <v>0.50699897575964492</v>
      </c>
      <c r="I78" s="187"/>
      <c r="J78" s="44">
        <v>14850</v>
      </c>
      <c r="K78" s="45"/>
      <c r="L78" s="44"/>
      <c r="M78" s="360" t="s">
        <v>68</v>
      </c>
      <c r="N78" s="44"/>
      <c r="O78" s="44"/>
      <c r="P78" s="44"/>
      <c r="Q78" s="44"/>
      <c r="R78" s="46"/>
      <c r="S78" s="47"/>
      <c r="T78" s="112"/>
      <c r="U78" s="114"/>
      <c r="V78" s="48"/>
      <c r="W78" s="49"/>
    </row>
    <row r="79" spans="1:25" s="50" customFormat="1" x14ac:dyDescent="0.25">
      <c r="A79" s="110" t="s">
        <v>69</v>
      </c>
      <c r="B79" s="111">
        <v>1595</v>
      </c>
      <c r="C79" s="111">
        <v>1595</v>
      </c>
      <c r="D79" s="111">
        <v>1595</v>
      </c>
      <c r="E79" s="111"/>
      <c r="F79" s="112">
        <f t="shared" si="21"/>
        <v>1879.82</v>
      </c>
      <c r="G79" s="361">
        <f>F79-D79</f>
        <v>284.81999999999994</v>
      </c>
      <c r="H79" s="113">
        <f t="shared" si="22"/>
        <v>1.1785705329153604</v>
      </c>
      <c r="I79" s="187"/>
      <c r="J79" s="44"/>
      <c r="K79" s="45"/>
      <c r="L79" s="44"/>
      <c r="M79" s="44">
        <v>252.2</v>
      </c>
      <c r="N79" s="44">
        <v>1627.62</v>
      </c>
      <c r="O79" s="44"/>
      <c r="P79" s="44"/>
      <c r="Q79" s="44"/>
      <c r="R79" s="46"/>
      <c r="S79" s="47"/>
      <c r="T79" s="112"/>
      <c r="U79" s="114"/>
      <c r="V79" s="48"/>
      <c r="W79" s="49"/>
    </row>
    <row r="80" spans="1:25" s="50" customFormat="1" x14ac:dyDescent="0.25">
      <c r="A80" s="110" t="s">
        <v>70</v>
      </c>
      <c r="B80" s="111">
        <v>0</v>
      </c>
      <c r="C80" s="111">
        <v>0</v>
      </c>
      <c r="D80" s="111">
        <v>0</v>
      </c>
      <c r="E80" s="111"/>
      <c r="F80" s="112">
        <f t="shared" si="21"/>
        <v>274.48</v>
      </c>
      <c r="G80" s="112"/>
      <c r="H80" s="113" t="e">
        <f t="shared" si="22"/>
        <v>#DIV/0!</v>
      </c>
      <c r="I80" s="187"/>
      <c r="J80" s="44">
        <v>152</v>
      </c>
      <c r="K80" s="45"/>
      <c r="L80" s="44"/>
      <c r="M80" s="44">
        <f>64+15.36</f>
        <v>79.36</v>
      </c>
      <c r="N80" s="44"/>
      <c r="O80" s="44">
        <f>37+6.12</f>
        <v>43.12</v>
      </c>
      <c r="P80" s="44"/>
      <c r="Q80" s="44"/>
      <c r="R80" s="46"/>
      <c r="S80" s="47"/>
      <c r="T80" s="112"/>
      <c r="U80" s="114"/>
      <c r="V80" s="48"/>
      <c r="W80" s="49"/>
    </row>
    <row r="81" spans="1:24" s="50" customFormat="1" x14ac:dyDescent="0.25">
      <c r="A81" s="110" t="s">
        <v>71</v>
      </c>
      <c r="B81" s="111">
        <v>0</v>
      </c>
      <c r="C81" s="111">
        <v>0</v>
      </c>
      <c r="D81" s="111">
        <v>0</v>
      </c>
      <c r="E81" s="111"/>
      <c r="F81" s="112">
        <f t="shared" si="21"/>
        <v>34.25</v>
      </c>
      <c r="G81" s="112"/>
      <c r="H81" s="113" t="e">
        <f t="shared" si="22"/>
        <v>#DIV/0!</v>
      </c>
      <c r="I81" s="187"/>
      <c r="J81" s="44">
        <v>20.25</v>
      </c>
      <c r="K81" s="45"/>
      <c r="L81" s="44"/>
      <c r="M81" s="44">
        <v>9</v>
      </c>
      <c r="N81" s="44"/>
      <c r="O81" s="44">
        <v>5</v>
      </c>
      <c r="P81" s="44"/>
      <c r="Q81" s="44"/>
      <c r="R81" s="46"/>
      <c r="S81" s="47"/>
      <c r="T81" s="112"/>
      <c r="U81" s="114"/>
      <c r="V81" s="48"/>
      <c r="W81" s="49"/>
    </row>
    <row r="82" spans="1:24" s="50" customFormat="1" x14ac:dyDescent="0.25">
      <c r="A82" s="110" t="s">
        <v>72</v>
      </c>
      <c r="B82" s="111">
        <v>0</v>
      </c>
      <c r="C82" s="111">
        <v>0</v>
      </c>
      <c r="D82" s="111">
        <v>0</v>
      </c>
      <c r="E82" s="111"/>
      <c r="F82" s="112">
        <f t="shared" si="21"/>
        <v>81.25</v>
      </c>
      <c r="G82" s="112"/>
      <c r="H82" s="113" t="e">
        <f t="shared" si="22"/>
        <v>#DIV/0!</v>
      </c>
      <c r="I82" s="187"/>
      <c r="J82" s="44">
        <v>30.25</v>
      </c>
      <c r="K82" s="45"/>
      <c r="L82" s="44"/>
      <c r="M82" s="44">
        <v>51</v>
      </c>
      <c r="N82" s="44"/>
      <c r="O82" s="44"/>
      <c r="P82" s="44"/>
      <c r="Q82" s="44"/>
      <c r="R82" s="46"/>
      <c r="S82" s="47"/>
      <c r="T82" s="112"/>
      <c r="U82" s="114"/>
      <c r="V82" s="48"/>
      <c r="W82" s="49"/>
    </row>
    <row r="83" spans="1:24" s="50" customFormat="1" x14ac:dyDescent="0.25">
      <c r="A83" s="110" t="s">
        <v>73</v>
      </c>
      <c r="B83" s="111">
        <v>0</v>
      </c>
      <c r="C83" s="111">
        <v>0</v>
      </c>
      <c r="D83" s="111">
        <v>0</v>
      </c>
      <c r="E83" s="111"/>
      <c r="F83" s="112">
        <f t="shared" si="21"/>
        <v>3506.87</v>
      </c>
      <c r="G83" s="112"/>
      <c r="H83" s="113" t="e">
        <f t="shared" si="22"/>
        <v>#DIV/0!</v>
      </c>
      <c r="I83" s="187"/>
      <c r="J83" s="44">
        <v>50</v>
      </c>
      <c r="K83" s="362">
        <v>171.87</v>
      </c>
      <c r="L83" s="44"/>
      <c r="M83" s="44">
        <v>40</v>
      </c>
      <c r="N83" s="44">
        <f>1800+1275</f>
        <v>3075</v>
      </c>
      <c r="O83" s="44">
        <v>170</v>
      </c>
      <c r="P83" s="44"/>
      <c r="Q83" s="44"/>
      <c r="R83" s="46"/>
      <c r="S83" s="47"/>
      <c r="T83" s="112"/>
      <c r="U83" s="114"/>
      <c r="V83" s="48"/>
      <c r="W83" s="49"/>
    </row>
    <row r="84" spans="1:24" s="50" customFormat="1" ht="24" thickBot="1" x14ac:dyDescent="0.3">
      <c r="A84" s="115" t="s">
        <v>74</v>
      </c>
      <c r="B84" s="143">
        <v>0</v>
      </c>
      <c r="C84" s="143">
        <v>0</v>
      </c>
      <c r="D84" s="143">
        <v>0</v>
      </c>
      <c r="E84" s="143"/>
      <c r="F84" s="112">
        <f t="shared" si="21"/>
        <v>278.35000000000002</v>
      </c>
      <c r="G84" s="123"/>
      <c r="H84" s="144" t="e">
        <f t="shared" si="22"/>
        <v>#DIV/0!</v>
      </c>
      <c r="I84" s="245"/>
      <c r="J84" s="363">
        <v>0</v>
      </c>
      <c r="K84" s="120">
        <v>278.35000000000002</v>
      </c>
      <c r="L84" s="119"/>
      <c r="M84" s="119"/>
      <c r="N84" s="119"/>
      <c r="O84" s="119"/>
      <c r="P84" s="119"/>
      <c r="Q84" s="119"/>
      <c r="R84" s="121"/>
      <c r="S84" s="122"/>
      <c r="T84" s="123"/>
      <c r="U84" s="124"/>
      <c r="V84" s="48"/>
      <c r="W84" s="49"/>
    </row>
    <row r="85" spans="1:24" s="50" customFormat="1" hidden="1" x14ac:dyDescent="0.25">
      <c r="A85" s="364"/>
      <c r="B85" s="365"/>
      <c r="C85" s="365"/>
      <c r="D85" s="365"/>
      <c r="E85" s="365"/>
      <c r="F85" s="365"/>
      <c r="G85" s="365"/>
      <c r="H85" s="366"/>
      <c r="I85" s="367"/>
      <c r="J85" s="368" t="s">
        <v>75</v>
      </c>
      <c r="K85" s="369" t="s">
        <v>76</v>
      </c>
      <c r="L85" s="367"/>
      <c r="M85" s="367"/>
      <c r="N85" s="367"/>
      <c r="O85" s="367"/>
      <c r="P85" s="367"/>
      <c r="Q85" s="367"/>
      <c r="R85" s="370"/>
      <c r="S85" s="371"/>
      <c r="T85" s="365"/>
      <c r="U85" s="365"/>
      <c r="V85" s="48"/>
      <c r="W85" s="49"/>
    </row>
    <row r="86" spans="1:24" s="50" customFormat="1" ht="12.75" hidden="1" x14ac:dyDescent="0.25">
      <c r="A86" s="372"/>
      <c r="B86" s="372"/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48"/>
      <c r="W86" s="49"/>
    </row>
    <row r="87" spans="1:24" s="50" customFormat="1" ht="24" hidden="1" thickBot="1" x14ac:dyDescent="0.3">
      <c r="A87" s="373" t="s">
        <v>77</v>
      </c>
      <c r="B87" s="374">
        <f>SUM(B77:B84)</f>
        <v>72660</v>
      </c>
      <c r="C87" s="374">
        <f>SUM(C77:C84)</f>
        <v>83826</v>
      </c>
      <c r="D87" s="374">
        <f>SUM(D77:D84)</f>
        <v>88761.42</v>
      </c>
      <c r="E87" s="329"/>
      <c r="F87" s="375">
        <f>SUM(F77:F84)</f>
        <v>20905.019999999997</v>
      </c>
      <c r="G87" s="375" t="e">
        <f>F87-#REF!</f>
        <v>#REF!</v>
      </c>
      <c r="H87" s="315">
        <f>F87/D87</f>
        <v>0.23551921544292551</v>
      </c>
      <c r="I87" s="332">
        <f>I77+I78+I79+I82+I80+I83+I81+I84</f>
        <v>0</v>
      </c>
      <c r="J87" s="331">
        <f t="shared" ref="J87:T87" si="23">SUM(J77:J84)</f>
        <v>15102.5</v>
      </c>
      <c r="K87" s="376">
        <f t="shared" si="23"/>
        <v>450.22</v>
      </c>
      <c r="L87" s="331">
        <f t="shared" si="23"/>
        <v>0</v>
      </c>
      <c r="M87" s="331">
        <f t="shared" si="23"/>
        <v>431.56</v>
      </c>
      <c r="N87" s="331">
        <f t="shared" si="23"/>
        <v>4702.62</v>
      </c>
      <c r="O87" s="331">
        <f t="shared" si="23"/>
        <v>218.12</v>
      </c>
      <c r="P87" s="331">
        <f t="shared" si="23"/>
        <v>0</v>
      </c>
      <c r="Q87" s="331">
        <f t="shared" si="23"/>
        <v>0</v>
      </c>
      <c r="R87" s="377">
        <f t="shared" si="23"/>
        <v>0</v>
      </c>
      <c r="S87" s="378">
        <f t="shared" si="23"/>
        <v>0</v>
      </c>
      <c r="T87" s="375">
        <f t="shared" si="23"/>
        <v>0</v>
      </c>
      <c r="U87" s="379">
        <v>0</v>
      </c>
      <c r="V87" s="48"/>
      <c r="W87" s="49"/>
    </row>
    <row r="88" spans="1:24" s="137" customFormat="1" ht="24" hidden="1" thickBot="1" x14ac:dyDescent="0.3">
      <c r="A88" s="316" t="s">
        <v>28</v>
      </c>
      <c r="B88" s="317"/>
      <c r="C88" s="317"/>
      <c r="D88" s="317"/>
      <c r="E88" s="317"/>
      <c r="F88" s="318"/>
      <c r="G88" s="318"/>
      <c r="H88" s="319"/>
      <c r="I88" s="320"/>
      <c r="J88" s="320"/>
      <c r="K88" s="321"/>
      <c r="L88" s="320"/>
      <c r="M88" s="320"/>
      <c r="N88" s="320"/>
      <c r="O88" s="320"/>
      <c r="P88" s="320"/>
      <c r="Q88" s="320"/>
      <c r="R88" s="322"/>
      <c r="S88" s="323"/>
      <c r="T88" s="320"/>
      <c r="U88" s="324"/>
      <c r="V88" s="136"/>
    </row>
    <row r="89" spans="1:24" s="95" customFormat="1" ht="24" hidden="1" thickBot="1" x14ac:dyDescent="0.3">
      <c r="A89" s="86" t="s">
        <v>29</v>
      </c>
      <c r="B89" s="87"/>
      <c r="C89" s="87"/>
      <c r="D89" s="87"/>
      <c r="E89" s="87"/>
      <c r="F89" s="87"/>
      <c r="G89" s="87"/>
      <c r="H89" s="88"/>
      <c r="I89" s="89">
        <f t="shared" ref="I89:U89" si="24">I87-I88</f>
        <v>0</v>
      </c>
      <c r="J89" s="90">
        <f t="shared" si="24"/>
        <v>15102.5</v>
      </c>
      <c r="K89" s="91">
        <f t="shared" si="24"/>
        <v>450.22</v>
      </c>
      <c r="L89" s="90">
        <f t="shared" si="24"/>
        <v>0</v>
      </c>
      <c r="M89" s="90">
        <f t="shared" si="24"/>
        <v>431.56</v>
      </c>
      <c r="N89" s="90">
        <f t="shared" si="24"/>
        <v>4702.62</v>
      </c>
      <c r="O89" s="90">
        <f t="shared" si="24"/>
        <v>218.12</v>
      </c>
      <c r="P89" s="90">
        <f t="shared" si="24"/>
        <v>0</v>
      </c>
      <c r="Q89" s="90">
        <f t="shared" si="24"/>
        <v>0</v>
      </c>
      <c r="R89" s="92">
        <f t="shared" si="24"/>
        <v>0</v>
      </c>
      <c r="S89" s="93">
        <f t="shared" si="24"/>
        <v>0</v>
      </c>
      <c r="T89" s="90">
        <f t="shared" si="24"/>
        <v>0</v>
      </c>
      <c r="U89" s="94">
        <f t="shared" si="24"/>
        <v>0</v>
      </c>
      <c r="V89" s="87"/>
      <c r="W89" s="87"/>
    </row>
    <row r="90" spans="1:24" s="95" customFormat="1" ht="24" hidden="1" thickBot="1" x14ac:dyDescent="0.3">
      <c r="A90" s="86" t="s">
        <v>30</v>
      </c>
      <c r="B90" s="87"/>
      <c r="C90" s="87"/>
      <c r="D90" s="87"/>
      <c r="E90" s="87"/>
      <c r="F90" s="87"/>
      <c r="G90" s="87"/>
      <c r="H90" s="88"/>
      <c r="I90" s="89"/>
      <c r="J90" s="90"/>
      <c r="K90" s="91"/>
      <c r="L90" s="90"/>
      <c r="M90" s="90"/>
      <c r="N90" s="90"/>
      <c r="O90" s="90"/>
      <c r="P90" s="90"/>
      <c r="Q90" s="90"/>
      <c r="R90" s="92"/>
      <c r="S90" s="93"/>
      <c r="T90" s="90"/>
      <c r="U90" s="94"/>
      <c r="V90" s="87"/>
      <c r="W90" s="87"/>
    </row>
    <row r="91" spans="1:24" hidden="1" x14ac:dyDescent="0.25">
      <c r="I91" s="383"/>
      <c r="J91" s="384" t="s">
        <v>78</v>
      </c>
      <c r="K91" s="385"/>
      <c r="L91" s="386"/>
      <c r="M91" s="383"/>
      <c r="N91" s="383"/>
      <c r="O91" s="383"/>
      <c r="P91" s="383"/>
      <c r="Q91" s="383"/>
      <c r="R91" s="387"/>
      <c r="S91" s="388"/>
      <c r="T91" s="387"/>
      <c r="U91" s="49"/>
      <c r="V91" s="389"/>
      <c r="W91" s="383"/>
      <c r="X91" s="383"/>
    </row>
    <row r="92" spans="1:24" hidden="1" x14ac:dyDescent="0.25">
      <c r="I92" s="383"/>
      <c r="J92" s="383"/>
      <c r="K92" s="385" t="s">
        <v>79</v>
      </c>
      <c r="L92" s="386"/>
      <c r="M92" s="383"/>
      <c r="N92" s="383"/>
      <c r="O92" s="383"/>
      <c r="P92" s="383"/>
      <c r="Q92" s="383"/>
      <c r="R92" s="387"/>
      <c r="S92" s="388"/>
      <c r="T92" s="387"/>
      <c r="U92" s="49"/>
      <c r="V92" s="389"/>
      <c r="W92" s="383"/>
      <c r="X92" s="383"/>
    </row>
    <row r="93" spans="1:24" x14ac:dyDescent="0.25">
      <c r="I93" s="383"/>
      <c r="J93" s="383"/>
      <c r="K93" s="385"/>
      <c r="L93" s="386"/>
      <c r="M93" s="383"/>
      <c r="N93" s="383"/>
      <c r="O93" s="383"/>
      <c r="P93" s="383"/>
      <c r="Q93" s="383"/>
      <c r="R93" s="387"/>
      <c r="S93" s="388"/>
      <c r="T93" s="387"/>
      <c r="U93" s="49"/>
      <c r="V93" s="389"/>
      <c r="W93" s="383"/>
      <c r="X93" s="383"/>
    </row>
    <row r="94" spans="1:24" x14ac:dyDescent="0.25">
      <c r="I94" s="383"/>
      <c r="J94" s="383"/>
      <c r="K94" s="385"/>
      <c r="L94" s="386"/>
      <c r="M94" s="383"/>
      <c r="N94" s="383"/>
      <c r="O94" s="383"/>
      <c r="P94" s="383"/>
      <c r="Q94" s="383"/>
      <c r="R94" s="387"/>
      <c r="S94" s="388"/>
      <c r="T94" s="387"/>
      <c r="U94" s="49"/>
      <c r="V94" s="389"/>
      <c r="W94" s="383"/>
      <c r="X94" s="383"/>
    </row>
    <row r="95" spans="1:24" x14ac:dyDescent="0.25">
      <c r="I95" s="383"/>
      <c r="J95" s="383"/>
      <c r="K95" s="385"/>
      <c r="L95" s="386"/>
      <c r="M95" s="383"/>
      <c r="N95" s="383"/>
      <c r="O95" s="383"/>
      <c r="P95" s="383"/>
      <c r="Q95" s="383"/>
      <c r="R95" s="387"/>
      <c r="S95" s="388"/>
      <c r="T95" s="387"/>
      <c r="U95" s="49"/>
      <c r="V95" s="389"/>
      <c r="W95" s="383"/>
      <c r="X95" s="383"/>
    </row>
    <row r="96" spans="1:24" x14ac:dyDescent="0.25">
      <c r="I96" s="383"/>
      <c r="J96" s="383"/>
      <c r="K96" s="385"/>
      <c r="L96" s="386"/>
      <c r="M96" s="383"/>
      <c r="N96" s="383"/>
      <c r="O96" s="383"/>
      <c r="P96" s="383"/>
      <c r="Q96" s="383"/>
      <c r="R96" s="387"/>
      <c r="S96" s="388"/>
      <c r="T96" s="387"/>
      <c r="U96" s="49"/>
      <c r="V96" s="389"/>
      <c r="W96" s="383"/>
      <c r="X96" s="383"/>
    </row>
    <row r="97" spans="9:24" x14ac:dyDescent="0.25">
      <c r="I97" s="383"/>
      <c r="J97" s="383"/>
      <c r="K97" s="385"/>
      <c r="L97" s="386"/>
      <c r="M97" s="383"/>
      <c r="N97" s="383"/>
      <c r="O97" s="383"/>
      <c r="P97" s="383"/>
      <c r="Q97" s="383"/>
      <c r="R97" s="387"/>
      <c r="S97" s="388"/>
      <c r="T97" s="387"/>
      <c r="U97" s="49"/>
      <c r="V97" s="389"/>
      <c r="W97" s="383"/>
      <c r="X97" s="383"/>
    </row>
    <row r="98" spans="9:24" x14ac:dyDescent="0.25">
      <c r="I98" s="383"/>
      <c r="J98" s="383"/>
      <c r="K98" s="385"/>
      <c r="L98" s="386"/>
      <c r="M98" s="383"/>
      <c r="N98" s="383"/>
      <c r="O98" s="383"/>
      <c r="P98" s="383"/>
      <c r="Q98" s="383"/>
      <c r="R98" s="387"/>
      <c r="S98" s="388"/>
      <c r="T98" s="387"/>
      <c r="U98" s="49"/>
      <c r="V98" s="389"/>
      <c r="W98" s="383"/>
      <c r="X98" s="383"/>
    </row>
    <row r="99" spans="9:24" x14ac:dyDescent="0.25">
      <c r="I99" s="383"/>
      <c r="J99" s="383"/>
      <c r="K99" s="385"/>
      <c r="L99" s="386"/>
      <c r="M99" s="383"/>
      <c r="N99" s="383"/>
      <c r="O99" s="383"/>
      <c r="P99" s="383"/>
      <c r="Q99" s="383"/>
      <c r="R99" s="387"/>
      <c r="S99" s="388"/>
      <c r="T99" s="387"/>
      <c r="U99" s="49"/>
      <c r="V99" s="389"/>
      <c r="W99" s="383"/>
      <c r="X99" s="383"/>
    </row>
    <row r="100" spans="9:24" x14ac:dyDescent="0.25">
      <c r="I100" s="383"/>
      <c r="J100" s="383"/>
      <c r="K100" s="385"/>
      <c r="L100" s="386"/>
      <c r="M100" s="383"/>
      <c r="N100" s="383"/>
      <c r="O100" s="383"/>
      <c r="P100" s="383"/>
      <c r="Q100" s="383"/>
      <c r="R100" s="387"/>
      <c r="S100" s="388"/>
      <c r="T100" s="387"/>
      <c r="U100" s="49"/>
      <c r="V100" s="389"/>
      <c r="W100" s="383"/>
      <c r="X100" s="383"/>
    </row>
    <row r="101" spans="9:24" x14ac:dyDescent="0.25">
      <c r="I101" s="383"/>
      <c r="J101" s="383"/>
      <c r="K101" s="385"/>
      <c r="L101" s="386"/>
      <c r="M101" s="383"/>
      <c r="N101" s="383"/>
      <c r="O101" s="383"/>
      <c r="P101" s="383"/>
      <c r="Q101" s="383"/>
      <c r="R101" s="387"/>
      <c r="S101" s="388"/>
      <c r="T101" s="387"/>
      <c r="U101" s="49"/>
      <c r="V101" s="389"/>
      <c r="W101" s="383"/>
      <c r="X101" s="383"/>
    </row>
    <row r="102" spans="9:24" x14ac:dyDescent="0.25">
      <c r="I102" s="383"/>
      <c r="J102" s="383"/>
      <c r="K102" s="385"/>
      <c r="L102" s="386"/>
      <c r="M102" s="383"/>
      <c r="N102" s="383"/>
      <c r="O102" s="383"/>
      <c r="P102" s="383"/>
      <c r="Q102" s="383"/>
      <c r="R102" s="387"/>
      <c r="S102" s="388"/>
      <c r="T102" s="387"/>
      <c r="U102" s="49"/>
      <c r="V102" s="389"/>
      <c r="W102" s="383"/>
      <c r="X102" s="383"/>
    </row>
    <row r="103" spans="9:24" x14ac:dyDescent="0.25">
      <c r="I103" s="383"/>
      <c r="J103" s="383"/>
      <c r="K103" s="385"/>
      <c r="L103" s="386"/>
      <c r="M103" s="383"/>
      <c r="N103" s="383"/>
      <c r="O103" s="383"/>
      <c r="P103" s="383"/>
      <c r="Q103" s="383"/>
      <c r="R103" s="387"/>
      <c r="S103" s="388"/>
      <c r="T103" s="387"/>
      <c r="U103" s="49"/>
      <c r="V103" s="389"/>
      <c r="W103" s="383"/>
      <c r="X103" s="383"/>
    </row>
    <row r="104" spans="9:24" x14ac:dyDescent="0.25">
      <c r="I104" s="383"/>
      <c r="J104" s="383"/>
      <c r="K104" s="385"/>
      <c r="L104" s="386"/>
      <c r="M104" s="383"/>
      <c r="N104" s="383"/>
      <c r="O104" s="383"/>
      <c r="P104" s="383"/>
      <c r="Q104" s="383"/>
      <c r="R104" s="387"/>
      <c r="S104" s="388"/>
      <c r="T104" s="387"/>
      <c r="U104" s="49"/>
      <c r="V104" s="389"/>
      <c r="W104" s="383"/>
      <c r="X104" s="383"/>
    </row>
    <row r="105" spans="9:24" x14ac:dyDescent="0.25">
      <c r="I105" s="383"/>
      <c r="J105" s="383"/>
      <c r="K105" s="385"/>
      <c r="L105" s="386"/>
      <c r="M105" s="383"/>
      <c r="N105" s="383"/>
      <c r="O105" s="383"/>
      <c r="P105" s="383"/>
      <c r="Q105" s="383"/>
      <c r="R105" s="387"/>
      <c r="S105" s="388"/>
      <c r="T105" s="387"/>
      <c r="U105" s="49"/>
      <c r="V105" s="389"/>
      <c r="W105" s="383"/>
      <c r="X105" s="383"/>
    </row>
    <row r="106" spans="9:24" x14ac:dyDescent="0.25">
      <c r="I106" s="383"/>
      <c r="J106" s="383"/>
      <c r="K106" s="385"/>
      <c r="L106" s="386"/>
      <c r="M106" s="383"/>
      <c r="N106" s="383"/>
      <c r="O106" s="383"/>
      <c r="P106" s="383"/>
      <c r="Q106" s="383"/>
      <c r="R106" s="387"/>
      <c r="S106" s="388"/>
      <c r="T106" s="387"/>
      <c r="U106" s="49"/>
      <c r="V106" s="389"/>
      <c r="W106" s="383"/>
      <c r="X106" s="383"/>
    </row>
    <row r="107" spans="9:24" x14ac:dyDescent="0.25">
      <c r="I107" s="383"/>
      <c r="J107" s="383"/>
      <c r="K107" s="385"/>
      <c r="L107" s="386"/>
      <c r="M107" s="383"/>
      <c r="N107" s="383"/>
      <c r="O107" s="383"/>
      <c r="P107" s="383"/>
      <c r="Q107" s="383"/>
      <c r="R107" s="387"/>
      <c r="S107" s="388"/>
      <c r="T107" s="387"/>
      <c r="U107" s="49"/>
      <c r="V107" s="389"/>
      <c r="W107" s="383"/>
      <c r="X107" s="383"/>
    </row>
    <row r="108" spans="9:24" x14ac:dyDescent="0.25">
      <c r="I108" s="383"/>
      <c r="J108" s="383"/>
      <c r="K108" s="385"/>
      <c r="L108" s="386"/>
      <c r="M108" s="383"/>
      <c r="N108" s="383"/>
      <c r="O108" s="383"/>
      <c r="P108" s="383"/>
      <c r="Q108" s="383"/>
      <c r="R108" s="387"/>
      <c r="S108" s="388"/>
      <c r="T108" s="387"/>
      <c r="U108" s="49"/>
      <c r="V108" s="389"/>
      <c r="W108" s="383"/>
      <c r="X108" s="383"/>
    </row>
    <row r="109" spans="9:24" x14ac:dyDescent="0.25">
      <c r="I109" s="383"/>
      <c r="J109" s="383"/>
      <c r="K109" s="385"/>
      <c r="L109" s="386"/>
      <c r="M109" s="383"/>
      <c r="N109" s="383"/>
      <c r="O109" s="383"/>
      <c r="P109" s="383"/>
      <c r="Q109" s="383"/>
      <c r="R109" s="387"/>
      <c r="S109" s="388"/>
      <c r="T109" s="387"/>
      <c r="U109" s="49"/>
      <c r="V109" s="389"/>
      <c r="W109" s="383"/>
      <c r="X109" s="383"/>
    </row>
    <row r="110" spans="9:24" x14ac:dyDescent="0.25">
      <c r="I110" s="383"/>
      <c r="J110" s="383"/>
      <c r="K110" s="385"/>
      <c r="L110" s="386"/>
      <c r="M110" s="383"/>
      <c r="N110" s="383"/>
      <c r="O110" s="383"/>
      <c r="P110" s="383"/>
      <c r="Q110" s="383"/>
      <c r="R110" s="387"/>
      <c r="S110" s="388"/>
      <c r="T110" s="387"/>
      <c r="U110" s="49"/>
      <c r="V110" s="389"/>
      <c r="W110" s="383"/>
      <c r="X110" s="383"/>
    </row>
    <row r="111" spans="9:24" x14ac:dyDescent="0.25">
      <c r="I111" s="383"/>
      <c r="J111" s="383"/>
      <c r="K111" s="385"/>
      <c r="L111" s="386"/>
      <c r="M111" s="383"/>
      <c r="N111" s="383"/>
      <c r="O111" s="383"/>
      <c r="P111" s="383"/>
      <c r="Q111" s="383"/>
      <c r="R111" s="387"/>
      <c r="S111" s="388"/>
      <c r="T111" s="387"/>
      <c r="U111" s="49"/>
      <c r="V111" s="389"/>
      <c r="W111" s="383"/>
      <c r="X111" s="383"/>
    </row>
    <row r="112" spans="9:24" x14ac:dyDescent="0.25">
      <c r="I112" s="383"/>
      <c r="J112" s="383"/>
      <c r="K112" s="385"/>
      <c r="L112" s="386"/>
      <c r="M112" s="383"/>
      <c r="N112" s="383"/>
      <c r="O112" s="383"/>
      <c r="P112" s="383"/>
      <c r="Q112" s="383"/>
      <c r="R112" s="387"/>
      <c r="S112" s="388"/>
      <c r="T112" s="387"/>
      <c r="U112" s="49"/>
      <c r="V112" s="389"/>
      <c r="W112" s="383"/>
      <c r="X112" s="383"/>
    </row>
    <row r="113" spans="9:24" x14ac:dyDescent="0.25">
      <c r="I113" s="383"/>
      <c r="J113" s="383"/>
      <c r="K113" s="385"/>
      <c r="L113" s="386"/>
      <c r="M113" s="383"/>
      <c r="N113" s="383"/>
      <c r="O113" s="383"/>
      <c r="P113" s="383"/>
      <c r="Q113" s="383"/>
      <c r="R113" s="387"/>
      <c r="S113" s="388"/>
      <c r="T113" s="387"/>
      <c r="U113" s="49"/>
      <c r="V113" s="389"/>
      <c r="W113" s="383"/>
      <c r="X113" s="383"/>
    </row>
    <row r="114" spans="9:24" x14ac:dyDescent="0.25">
      <c r="I114" s="383"/>
      <c r="J114" s="383"/>
      <c r="K114" s="385"/>
      <c r="L114" s="386"/>
      <c r="M114" s="383"/>
      <c r="N114" s="383"/>
      <c r="O114" s="383"/>
      <c r="P114" s="383"/>
      <c r="Q114" s="383"/>
      <c r="R114" s="387"/>
      <c r="S114" s="388"/>
      <c r="T114" s="387"/>
      <c r="U114" s="49"/>
      <c r="V114" s="389"/>
      <c r="W114" s="383"/>
      <c r="X114" s="383"/>
    </row>
    <row r="115" spans="9:24" x14ac:dyDescent="0.25">
      <c r="I115" s="383"/>
      <c r="J115" s="383"/>
      <c r="K115" s="385"/>
      <c r="L115" s="386"/>
      <c r="M115" s="383"/>
      <c r="N115" s="383"/>
      <c r="O115" s="383"/>
      <c r="P115" s="383"/>
      <c r="Q115" s="383"/>
      <c r="R115" s="387"/>
      <c r="S115" s="388"/>
      <c r="T115" s="387"/>
      <c r="U115" s="49"/>
      <c r="V115" s="389"/>
      <c r="W115" s="383"/>
      <c r="X115" s="383"/>
    </row>
    <row r="116" spans="9:24" x14ac:dyDescent="0.25">
      <c r="V116" s="389"/>
      <c r="W116" s="383"/>
      <c r="X116" s="383"/>
    </row>
  </sheetData>
  <mergeCells count="5">
    <mergeCell ref="A2:U2"/>
    <mergeCell ref="A19:U19"/>
    <mergeCell ref="A43:U43"/>
    <mergeCell ref="A75:U75"/>
    <mergeCell ref="A86:U86"/>
  </mergeCells>
  <pageMargins left="0.1" right="0.1" top="0.2" bottom="0.2" header="0.3" footer="0.3"/>
  <pageSetup paperSize="17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Jessica Foreshoe</cp:lastModifiedBy>
  <cp:lastPrinted>2023-01-10T19:45:51Z</cp:lastPrinted>
  <dcterms:created xsi:type="dcterms:W3CDTF">2023-01-10T19:45:14Z</dcterms:created>
  <dcterms:modified xsi:type="dcterms:W3CDTF">2023-01-10T19:48:46Z</dcterms:modified>
</cp:coreProperties>
</file>